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bec57f1e9dae98/Bureau/"/>
    </mc:Choice>
  </mc:AlternateContent>
  <xr:revisionPtr revIDLastSave="48" documentId="8_{731EC62C-BD52-4D60-A9CC-EE0306232A79}" xr6:coauthVersionLast="47" xr6:coauthVersionMax="47" xr10:uidLastSave="{8106FE8D-116C-4D90-B264-A1053AC1DAC8}"/>
  <bookViews>
    <workbookView xWindow="-19310" yWindow="-110" windowWidth="19420" windowHeight="11020" xr2:uid="{AB8B5FB3-31BD-45EE-A639-990A26CD002F}"/>
  </bookViews>
  <sheets>
    <sheet name="Calcul frais marges levier pts" sheetId="2" r:id="rId1"/>
  </sheets>
  <definedNames>
    <definedName name="_xlnm._FilterDatabase" localSheetId="0" hidden="1">'Calcul frais marges levier pts'!$A$13:$AB$13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4" i="2" l="1"/>
  <c r="Q34" i="2"/>
  <c r="AA27" i="2"/>
  <c r="AB27" i="2" s="1"/>
  <c r="Z27" i="2"/>
  <c r="Y27" i="2"/>
  <c r="X27" i="2"/>
  <c r="W27" i="2"/>
  <c r="T27" i="2"/>
  <c r="U27" i="2" s="1"/>
  <c r="S27" i="2"/>
  <c r="R27" i="2"/>
  <c r="M27" i="2"/>
  <c r="N27" i="2" s="1"/>
  <c r="O27" i="2" s="1"/>
  <c r="P27" i="2" s="1"/>
  <c r="J27" i="2"/>
  <c r="F27" i="2"/>
  <c r="W26" i="2"/>
  <c r="U26" i="2"/>
  <c r="T26" i="2"/>
  <c r="M26" i="2"/>
  <c r="N26" i="2" s="1"/>
  <c r="F26" i="2"/>
  <c r="Z25" i="2"/>
  <c r="AA25" i="2" s="1"/>
  <c r="AB25" i="2" s="1"/>
  <c r="Y25" i="2"/>
  <c r="X25" i="2"/>
  <c r="W25" i="2"/>
  <c r="U25" i="2"/>
  <c r="T25" i="2"/>
  <c r="S25" i="2"/>
  <c r="Q25" i="2"/>
  <c r="R25" i="2" s="1"/>
  <c r="M25" i="2"/>
  <c r="N25" i="2" s="1"/>
  <c r="O25" i="2" s="1"/>
  <c r="P25" i="2" s="1"/>
  <c r="I25" i="2"/>
  <c r="J25" i="2" s="1"/>
  <c r="F25" i="2"/>
  <c r="Z22" i="2"/>
  <c r="AA22" i="2" s="1"/>
  <c r="AB22" i="2" s="1"/>
  <c r="Y22" i="2"/>
  <c r="X22" i="2"/>
  <c r="W22" i="2"/>
  <c r="U22" i="2"/>
  <c r="L22" i="2"/>
  <c r="K22" i="2"/>
  <c r="M22" i="2" s="1"/>
  <c r="N22" i="2" s="1"/>
  <c r="J22" i="2"/>
  <c r="I22" i="2"/>
  <c r="F22" i="2"/>
  <c r="Y21" i="2"/>
  <c r="Z21" i="2" s="1"/>
  <c r="AA21" i="2" s="1"/>
  <c r="AB21" i="2" s="1"/>
  <c r="X21" i="2"/>
  <c r="W21" i="2"/>
  <c r="U21" i="2"/>
  <c r="M21" i="2"/>
  <c r="N21" i="2" s="1"/>
  <c r="K21" i="2"/>
  <c r="L21" i="2" s="1"/>
  <c r="J21" i="2"/>
  <c r="I21" i="2"/>
  <c r="F21" i="2"/>
  <c r="Z20" i="2"/>
  <c r="AA20" i="2" s="1"/>
  <c r="AB20" i="2" s="1"/>
  <c r="Y20" i="2"/>
  <c r="X20" i="2"/>
  <c r="W20" i="2"/>
  <c r="U20" i="2"/>
  <c r="I20" i="2"/>
  <c r="K20" i="2" s="1"/>
  <c r="F20" i="2"/>
  <c r="Z19" i="2"/>
  <c r="AA19" i="2" s="1"/>
  <c r="AB19" i="2" s="1"/>
  <c r="Y19" i="2"/>
  <c r="X19" i="2"/>
  <c r="W19" i="2"/>
  <c r="U19" i="2"/>
  <c r="I19" i="2"/>
  <c r="K19" i="2" s="1"/>
  <c r="F19" i="2"/>
  <c r="Y18" i="2"/>
  <c r="Z18" i="2" s="1"/>
  <c r="AA18" i="2" s="1"/>
  <c r="AB18" i="2" s="1"/>
  <c r="X18" i="2"/>
  <c r="U18" i="2"/>
  <c r="K18" i="2"/>
  <c r="M18" i="2" s="1"/>
  <c r="N18" i="2" s="1"/>
  <c r="J18" i="2"/>
  <c r="I18" i="2"/>
  <c r="F18" i="2"/>
  <c r="K17" i="2"/>
  <c r="M17" i="2" s="1"/>
  <c r="N17" i="2" s="1"/>
  <c r="I17" i="2"/>
  <c r="J17" i="2" s="1"/>
  <c r="F17" i="2"/>
  <c r="X16" i="2"/>
  <c r="W16" i="2"/>
  <c r="U16" i="2"/>
  <c r="J16" i="2"/>
  <c r="I16" i="2"/>
  <c r="K16" i="2" s="1"/>
  <c r="F16" i="2"/>
  <c r="W15" i="2"/>
  <c r="U15" i="2"/>
  <c r="I15" i="2"/>
  <c r="K15" i="2" s="1"/>
  <c r="F15" i="2"/>
  <c r="Z14" i="2"/>
  <c r="AA14" i="2" s="1"/>
  <c r="AB14" i="2" s="1"/>
  <c r="Y14" i="2"/>
  <c r="X14" i="2"/>
  <c r="U14" i="2"/>
  <c r="L14" i="2"/>
  <c r="K14" i="2"/>
  <c r="M14" i="2" s="1"/>
  <c r="N14" i="2" s="1"/>
  <c r="J14" i="2"/>
  <c r="I14" i="2"/>
  <c r="F14" i="2"/>
  <c r="A9" i="2"/>
  <c r="Y17" i="2" s="1"/>
  <c r="Z17" i="2" s="1"/>
  <c r="AA17" i="2" s="1"/>
  <c r="B8" i="2"/>
  <c r="A3" i="2"/>
  <c r="W14" i="2" s="1"/>
  <c r="O22" i="2" l="1"/>
  <c r="P22" i="2" s="1"/>
  <c r="Q22" i="2"/>
  <c r="M19" i="2"/>
  <c r="N19" i="2" s="1"/>
  <c r="L19" i="2"/>
  <c r="O17" i="2"/>
  <c r="P17" i="2" s="1"/>
  <c r="Q17" i="2"/>
  <c r="M15" i="2"/>
  <c r="N15" i="2" s="1"/>
  <c r="L15" i="2"/>
  <c r="L16" i="2"/>
  <c r="M16" i="2"/>
  <c r="N16" i="2" s="1"/>
  <c r="O14" i="2"/>
  <c r="P14" i="2" s="1"/>
  <c r="Q14" i="2"/>
  <c r="AB17" i="2"/>
  <c r="Q21" i="2"/>
  <c r="O21" i="2"/>
  <c r="P21" i="2" s="1"/>
  <c r="Q18" i="2"/>
  <c r="O18" i="2"/>
  <c r="P18" i="2" s="1"/>
  <c r="M20" i="2"/>
  <c r="N20" i="2" s="1"/>
  <c r="L20" i="2"/>
  <c r="Q26" i="2"/>
  <c r="O26" i="2"/>
  <c r="P26" i="2" s="1"/>
  <c r="Y16" i="2"/>
  <c r="Z16" i="2" s="1"/>
  <c r="AA16" i="2" s="1"/>
  <c r="AB16" i="2" s="1"/>
  <c r="W18" i="2"/>
  <c r="L18" i="2"/>
  <c r="J20" i="2"/>
  <c r="X26" i="2"/>
  <c r="J15" i="2"/>
  <c r="X15" i="2"/>
  <c r="U17" i="2"/>
  <c r="Y26" i="2"/>
  <c r="Z26" i="2" s="1"/>
  <c r="AA26" i="2" s="1"/>
  <c r="AB26" i="2" s="1"/>
  <c r="Y15" i="2"/>
  <c r="Z15" i="2" s="1"/>
  <c r="AA15" i="2" s="1"/>
  <c r="W17" i="2"/>
  <c r="X17" i="2"/>
  <c r="L17" i="2"/>
  <c r="J19" i="2"/>
  <c r="Q19" i="2" l="1"/>
  <c r="O19" i="2"/>
  <c r="P19" i="2" s="1"/>
  <c r="S21" i="2"/>
  <c r="R21" i="2"/>
  <c r="S14" i="2"/>
  <c r="R14" i="2"/>
  <c r="R17" i="2"/>
  <c r="S17" i="2"/>
  <c r="Q16" i="2"/>
  <c r="O16" i="2"/>
  <c r="P16" i="2" s="1"/>
  <c r="Q20" i="2"/>
  <c r="O20" i="2"/>
  <c r="P20" i="2" s="1"/>
  <c r="R22" i="2"/>
  <c r="S22" i="2"/>
  <c r="S26" i="2"/>
  <c r="R26" i="2"/>
  <c r="S18" i="2"/>
  <c r="R18" i="2"/>
  <c r="AB15" i="2"/>
  <c r="Q15" i="2"/>
  <c r="O15" i="2"/>
  <c r="P15" i="2" s="1"/>
  <c r="S19" i="2" l="1"/>
  <c r="R19" i="2"/>
  <c r="R20" i="2"/>
  <c r="S20" i="2"/>
  <c r="S16" i="2"/>
  <c r="R16" i="2"/>
  <c r="S15" i="2"/>
  <c r="R15" i="2"/>
</calcChain>
</file>

<file path=xl/sharedStrings.xml><?xml version="1.0" encoding="utf-8"?>
<sst xmlns="http://schemas.openxmlformats.org/spreadsheetml/2006/main" count="128" uniqueCount="89">
  <si>
    <t>EUR/USD</t>
  </si>
  <si>
    <t>Objectif mensuel</t>
  </si>
  <si>
    <t>Levier souhaité</t>
  </si>
  <si>
    <t xml:space="preserve">indice future </t>
  </si>
  <si>
    <t>code</t>
  </si>
  <si>
    <t>taille du tick</t>
  </si>
  <si>
    <t>taille du point</t>
  </si>
  <si>
    <t>valeur du point</t>
  </si>
  <si>
    <t>valeur du tick</t>
  </si>
  <si>
    <r>
      <t xml:space="preserve">frais par contrat </t>
    </r>
    <r>
      <rPr>
        <b/>
        <sz val="11"/>
        <color theme="1"/>
        <rFont val="Calibri"/>
        <family val="2"/>
        <scheme val="minor"/>
      </rPr>
      <t>IBKR</t>
    </r>
  </si>
  <si>
    <t>frais de bourse</t>
  </si>
  <si>
    <t>total frais</t>
  </si>
  <si>
    <t>total frais en €</t>
  </si>
  <si>
    <t>total frais AR</t>
  </si>
  <si>
    <t>total frais AR en €</t>
  </si>
  <si>
    <t>nb tick mini pour faire du gain</t>
  </si>
  <si>
    <t>nb point mini pour faire du gain</t>
  </si>
  <si>
    <t>gain mini si nombre de point mini atteind</t>
  </si>
  <si>
    <t>gain mini si nombre de point mini atteind en €</t>
  </si>
  <si>
    <t>gain pour 1 point</t>
  </si>
  <si>
    <t>gain pour 1 point en €</t>
  </si>
  <si>
    <t>% de gain restant pour 1 point</t>
  </si>
  <si>
    <r>
      <t xml:space="preserve">marge intraday pour ouvrir une position </t>
    </r>
    <r>
      <rPr>
        <b/>
        <sz val="11"/>
        <color theme="1"/>
        <rFont val="Calibri"/>
        <family val="2"/>
        <scheme val="minor"/>
      </rPr>
      <t>IBKR</t>
    </r>
  </si>
  <si>
    <t>nb maxi de lots</t>
  </si>
  <si>
    <t>cours indice</t>
  </si>
  <si>
    <t>effet de levier pour un point</t>
  </si>
  <si>
    <t>nombre de lot pour levier souhaité</t>
  </si>
  <si>
    <t>nombre de point à faire par mois</t>
  </si>
  <si>
    <t>nombre de point à faire par semaine</t>
  </si>
  <si>
    <t>nombre de point à faire par jour</t>
  </si>
  <si>
    <t>nombre de point à faire par jour avec levier souhaité (hors frais)</t>
  </si>
  <si>
    <t>mini DJ 30</t>
  </si>
  <si>
    <t>YMXXXX</t>
  </si>
  <si>
    <t>micro DJ 30</t>
  </si>
  <si>
    <t>MYMXXXX</t>
  </si>
  <si>
    <t>NQXXXXX</t>
  </si>
  <si>
    <t>MNQXXXX</t>
  </si>
  <si>
    <t>micro S&amp;P500</t>
  </si>
  <si>
    <t>MESXXXX</t>
  </si>
  <si>
    <t>Cac 40</t>
  </si>
  <si>
    <t>FCEXXXX</t>
  </si>
  <si>
    <t>DXMXXXX</t>
  </si>
  <si>
    <t>DXSXXXX</t>
  </si>
  <si>
    <t>Estoxx 50</t>
  </si>
  <si>
    <t>ESTXXXX</t>
  </si>
  <si>
    <t>indice CFD IG</t>
  </si>
  <si>
    <t xml:space="preserve">frais par contrat </t>
  </si>
  <si>
    <t>Spread</t>
  </si>
  <si>
    <t>marge intraday pour ouvrir une position 5%</t>
  </si>
  <si>
    <t>micro DJ</t>
  </si>
  <si>
    <t xml:space="preserve">Wall street micro </t>
  </si>
  <si>
    <t>US tech 100 mini</t>
  </si>
  <si>
    <t>US tech 100 micro</t>
  </si>
  <si>
    <t>spread  CFD</t>
  </si>
  <si>
    <t>cout du stop garanti</t>
  </si>
  <si>
    <t>DJ</t>
  </si>
  <si>
    <t xml:space="preserve">Wall Street standard </t>
  </si>
  <si>
    <t>mini DJ</t>
  </si>
  <si>
    <t>Wall street mini</t>
  </si>
  <si>
    <t>UT tech 100 standard</t>
  </si>
  <si>
    <t>S&amp;P500</t>
  </si>
  <si>
    <t>US 500 standard</t>
  </si>
  <si>
    <t>mini S&amp;P500</t>
  </si>
  <si>
    <t>US 500 mini</t>
  </si>
  <si>
    <t>US 500 micro</t>
  </si>
  <si>
    <t>France 40</t>
  </si>
  <si>
    <t>Cac 40 mini</t>
  </si>
  <si>
    <t>France 40 mini</t>
  </si>
  <si>
    <t>Allemagne 40 standard</t>
  </si>
  <si>
    <t>Allemagne 40 mini</t>
  </si>
  <si>
    <t>Allemagne 40 micro</t>
  </si>
  <si>
    <t>Estoxx 50 standard</t>
  </si>
  <si>
    <t>mini Estoxx 50</t>
  </si>
  <si>
    <t>Estoxx 50 mini</t>
  </si>
  <si>
    <t>Impôt / Flat Taxe</t>
  </si>
  <si>
    <t>Capital</t>
  </si>
  <si>
    <t>mini Nasdaq 100</t>
  </si>
  <si>
    <t>micro Nasdaq 100</t>
  </si>
  <si>
    <t>mini Dax 40</t>
  </si>
  <si>
    <t>micro Dax 40</t>
  </si>
  <si>
    <t>mini Nasdaq</t>
  </si>
  <si>
    <t>micro Nasdaq</t>
  </si>
  <si>
    <t>Nasdaq</t>
  </si>
  <si>
    <t>Dax 40</t>
  </si>
  <si>
    <t xml:space="preserve">Achat </t>
  </si>
  <si>
    <t>Vente</t>
  </si>
  <si>
    <t>Nuit</t>
  </si>
  <si>
    <t>Jour</t>
  </si>
  <si>
    <t>Différence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</si>
</sst>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\ [$€-40C]_-;\-* #,##0\ [$€-40C]_-;_-* &quot;-&quot;??\ [$€-40C]_-;_-@_-"/>
    <numFmt numFmtId="165" formatCode="_-* #,##0.00\ [$€-40C]_-;\-* #,##0.00\ [$€-40C]_-;_-* &quot;-&quot;??\ [$€-40C]_-;_-@_-"/>
    <numFmt numFmtId="166" formatCode="_-[$$-409]* #,##0_ ;_-[$$-409]* \-#,##0\ ;_-[$$-409]* &quot;-&quot;??_ ;_-@_ "/>
    <numFmt numFmtId="167" formatCode="_-[$$-409]* #,##0.0000_ ;_-[$$-409]* \-#,##0.0000\ ;_-[$$-409]* &quot;-&quot;??_ ;_-@_ "/>
    <numFmt numFmtId="168" formatCode="_-[$$-409]* #,##0.00_ ;_-[$$-409]* \-#,##0.00\ ;_-[$$-409]* &quot;-&quot;??_ ;_-@_ "/>
    <numFmt numFmtId="169" formatCode="_-* #,##0_-;\-* #,##0_-;_-* &quot;-&quot;??_-;_-@_-"/>
    <numFmt numFmtId="170" formatCode="_-* #,##0.0\ [$€-40C]_-;\-* #,##0.0\ [$€-40C]_-;_-* &quot;-&quot;??\ [$€-40C]_-;_-@_-"/>
    <numFmt numFmtId="171" formatCode="_-* #,##0.0000\ [$€-40C]_-;\-* #,##0.0000\ [$€-40C]_-;_-* &quot;-&quot;??\ [$€-40C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2" borderId="2" xfId="1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 wrapText="1"/>
    </xf>
    <xf numFmtId="166" fontId="0" fillId="0" borderId="3" xfId="1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7" fontId="0" fillId="0" borderId="3" xfId="0" applyNumberFormat="1" applyBorder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6" fontId="0" fillId="0" borderId="12" xfId="0" applyNumberFormat="1" applyBorder="1" applyAlignment="1">
      <alignment horizontal="center" vertical="center" wrapText="1"/>
    </xf>
    <xf numFmtId="166" fontId="0" fillId="0" borderId="14" xfId="0" applyNumberFormat="1" applyBorder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168" fontId="0" fillId="0" borderId="14" xfId="0" applyNumberFormat="1" applyBorder="1" applyAlignment="1">
      <alignment horizontal="center" vertical="center" wrapText="1"/>
    </xf>
    <xf numFmtId="165" fontId="0" fillId="0" borderId="15" xfId="0" applyNumberFormat="1" applyBorder="1" applyAlignment="1">
      <alignment horizontal="center" vertical="center" wrapText="1"/>
    </xf>
    <xf numFmtId="168" fontId="0" fillId="0" borderId="16" xfId="0" applyNumberFormat="1" applyBorder="1" applyAlignment="1">
      <alignment horizontal="center" vertical="center" wrapText="1"/>
    </xf>
    <xf numFmtId="165" fontId="5" fillId="0" borderId="13" xfId="2" applyNumberFormat="1" applyFont="1" applyBorder="1" applyAlignment="1">
      <alignment horizontal="center" vertical="center" wrapText="1"/>
    </xf>
    <xf numFmtId="165" fontId="0" fillId="0" borderId="16" xfId="0" applyNumberFormat="1" applyBorder="1" applyAlignment="1">
      <alignment horizontal="center" vertical="center" wrapText="1"/>
    </xf>
    <xf numFmtId="168" fontId="3" fillId="0" borderId="13" xfId="0" applyNumberFormat="1" applyFont="1" applyBorder="1" applyAlignment="1">
      <alignment horizontal="center" vertical="center" wrapText="1"/>
    </xf>
    <xf numFmtId="165" fontId="5" fillId="0" borderId="15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9" fontId="0" fillId="0" borderId="1" xfId="1" applyNumberFormat="1" applyFon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168" fontId="0" fillId="5" borderId="18" xfId="0" applyNumberFormat="1" applyFill="1" applyBorder="1" applyAlignment="1">
      <alignment horizontal="center" vertical="center" wrapText="1"/>
    </xf>
    <xf numFmtId="168" fontId="0" fillId="5" borderId="20" xfId="0" applyNumberFormat="1" applyFill="1" applyBorder="1" applyAlignment="1">
      <alignment horizontal="center" vertical="center" wrapText="1"/>
    </xf>
    <xf numFmtId="165" fontId="0" fillId="5" borderId="21" xfId="0" applyNumberFormat="1" applyFill="1" applyBorder="1" applyAlignment="1">
      <alignment horizontal="center" vertical="center" wrapText="1"/>
    </xf>
    <xf numFmtId="168" fontId="0" fillId="5" borderId="22" xfId="0" applyNumberFormat="1" applyFill="1" applyBorder="1" applyAlignment="1">
      <alignment horizontal="center" vertical="center" wrapText="1"/>
    </xf>
    <xf numFmtId="165" fontId="5" fillId="5" borderId="19" xfId="0" applyNumberFormat="1" applyFont="1" applyFill="1" applyBorder="1" applyAlignment="1">
      <alignment horizontal="center" vertical="center" wrapText="1"/>
    </xf>
    <xf numFmtId="165" fontId="0" fillId="5" borderId="22" xfId="0" applyNumberFormat="1" applyFill="1" applyBorder="1" applyAlignment="1">
      <alignment horizontal="center" vertical="center" wrapText="1"/>
    </xf>
    <xf numFmtId="168" fontId="3" fillId="5" borderId="19" xfId="0" applyNumberFormat="1" applyFont="1" applyFill="1" applyBorder="1" applyAlignment="1">
      <alignment horizontal="center" vertical="center" wrapText="1"/>
    </xf>
    <xf numFmtId="165" fontId="5" fillId="5" borderId="21" xfId="0" applyNumberFormat="1" applyFont="1" applyFill="1" applyBorder="1" applyAlignment="1">
      <alignment horizontal="center" vertical="center" wrapText="1"/>
    </xf>
    <xf numFmtId="1" fontId="6" fillId="5" borderId="18" xfId="0" applyNumberFormat="1" applyFont="1" applyFill="1" applyBorder="1" applyAlignment="1">
      <alignment horizontal="center" vertical="center" wrapText="1"/>
    </xf>
    <xf numFmtId="166" fontId="0" fillId="5" borderId="2" xfId="0" applyNumberFormat="1" applyFill="1" applyBorder="1" applyAlignment="1">
      <alignment horizontal="center" vertical="center" wrapText="1"/>
    </xf>
    <xf numFmtId="1" fontId="0" fillId="5" borderId="2" xfId="0" applyNumberFormat="1" applyFill="1" applyBorder="1" applyAlignment="1">
      <alignment horizontal="center" vertical="center" wrapText="1"/>
    </xf>
    <xf numFmtId="169" fontId="0" fillId="5" borderId="2" xfId="1" applyNumberFormat="1" applyFont="1" applyFill="1" applyBorder="1" applyAlignment="1">
      <alignment horizontal="center" vertical="center" wrapText="1"/>
    </xf>
    <xf numFmtId="1" fontId="0" fillId="5" borderId="18" xfId="0" applyNumberFormat="1" applyFill="1" applyBorder="1" applyAlignment="1">
      <alignment horizontal="center" vertical="center" wrapText="1"/>
    </xf>
    <xf numFmtId="1" fontId="5" fillId="5" borderId="19" xfId="0" applyNumberFormat="1" applyFont="1" applyFill="1" applyBorder="1" applyAlignment="1">
      <alignment horizontal="center" vertical="center" wrapText="1"/>
    </xf>
    <xf numFmtId="1" fontId="0" fillId="5" borderId="23" xfId="0" applyNumberFormat="1" applyFill="1" applyBorder="1" applyAlignment="1">
      <alignment horizontal="center" vertical="center" wrapText="1"/>
    </xf>
    <xf numFmtId="1" fontId="0" fillId="5" borderId="19" xfId="0" applyNumberFormat="1" applyFill="1" applyBorder="1" applyAlignment="1">
      <alignment horizontal="center" vertical="center" wrapText="1"/>
    </xf>
    <xf numFmtId="1" fontId="5" fillId="5" borderId="2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6" fontId="0" fillId="0" borderId="18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168" fontId="0" fillId="0" borderId="18" xfId="0" applyNumberFormat="1" applyBorder="1" applyAlignment="1">
      <alignment horizontal="center" vertical="center" wrapText="1"/>
    </xf>
    <xf numFmtId="168" fontId="0" fillId="0" borderId="20" xfId="0" applyNumberFormat="1" applyBorder="1" applyAlignment="1">
      <alignment horizontal="center" vertical="center" wrapText="1"/>
    </xf>
    <xf numFmtId="165" fontId="0" fillId="0" borderId="21" xfId="0" applyNumberFormat="1" applyBorder="1" applyAlignment="1">
      <alignment horizontal="center" vertical="center" wrapText="1"/>
    </xf>
    <xf numFmtId="168" fontId="0" fillId="0" borderId="22" xfId="0" applyNumberFormat="1" applyBorder="1" applyAlignment="1">
      <alignment horizontal="center" vertical="center" wrapText="1"/>
    </xf>
    <xf numFmtId="165" fontId="5" fillId="0" borderId="19" xfId="0" applyNumberFormat="1" applyFont="1" applyBorder="1" applyAlignment="1">
      <alignment horizontal="center" vertical="center" wrapText="1"/>
    </xf>
    <xf numFmtId="165" fontId="0" fillId="0" borderId="22" xfId="0" applyNumberFormat="1" applyBorder="1" applyAlignment="1">
      <alignment horizontal="center" vertical="center" wrapText="1"/>
    </xf>
    <xf numFmtId="168" fontId="3" fillId="0" borderId="19" xfId="0" applyNumberFormat="1" applyFont="1" applyBorder="1" applyAlignment="1">
      <alignment horizontal="center" vertical="center" wrapText="1"/>
    </xf>
    <xf numFmtId="165" fontId="5" fillId="0" borderId="21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66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69" fontId="0" fillId="0" borderId="2" xfId="1" applyNumberFormat="1" applyFon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0" fillId="0" borderId="23" xfId="0" applyNumberFormat="1" applyBorder="1" applyAlignment="1">
      <alignment horizontal="center" vertical="center" wrapText="1"/>
    </xf>
    <xf numFmtId="1" fontId="0" fillId="0" borderId="19" xfId="0" applyNumberForma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166" fontId="0" fillId="6" borderId="18" xfId="0" applyNumberFormat="1" applyFill="1" applyBorder="1" applyAlignment="1">
      <alignment horizontal="center" vertical="center" wrapText="1"/>
    </xf>
    <xf numFmtId="168" fontId="0" fillId="6" borderId="20" xfId="0" applyNumberFormat="1" applyFill="1" applyBorder="1" applyAlignment="1">
      <alignment horizontal="center" vertical="center" wrapText="1"/>
    </xf>
    <xf numFmtId="168" fontId="0" fillId="6" borderId="18" xfId="0" applyNumberFormat="1" applyFill="1" applyBorder="1" applyAlignment="1">
      <alignment horizontal="center" vertical="center" wrapText="1"/>
    </xf>
    <xf numFmtId="165" fontId="0" fillId="6" borderId="21" xfId="0" applyNumberFormat="1" applyFill="1" applyBorder="1" applyAlignment="1">
      <alignment horizontal="center" vertical="center" wrapText="1"/>
    </xf>
    <xf numFmtId="168" fontId="0" fillId="6" borderId="22" xfId="0" applyNumberFormat="1" applyFill="1" applyBorder="1" applyAlignment="1">
      <alignment horizontal="center" vertical="center" wrapText="1"/>
    </xf>
    <xf numFmtId="165" fontId="5" fillId="6" borderId="19" xfId="0" applyNumberFormat="1" applyFont="1" applyFill="1" applyBorder="1" applyAlignment="1">
      <alignment horizontal="center" vertical="center" wrapText="1"/>
    </xf>
    <xf numFmtId="165" fontId="0" fillId="6" borderId="22" xfId="0" applyNumberFormat="1" applyFill="1" applyBorder="1" applyAlignment="1">
      <alignment horizontal="center" vertical="center" wrapText="1"/>
    </xf>
    <xf numFmtId="168" fontId="3" fillId="6" borderId="19" xfId="0" applyNumberFormat="1" applyFont="1" applyFill="1" applyBorder="1" applyAlignment="1">
      <alignment horizontal="center" vertical="center" wrapText="1"/>
    </xf>
    <xf numFmtId="165" fontId="5" fillId="6" borderId="21" xfId="0" applyNumberFormat="1" applyFont="1" applyFill="1" applyBorder="1" applyAlignment="1">
      <alignment horizontal="center" vertical="center" wrapText="1"/>
    </xf>
    <xf numFmtId="1" fontId="6" fillId="6" borderId="18" xfId="0" applyNumberFormat="1" applyFont="1" applyFill="1" applyBorder="1" applyAlignment="1">
      <alignment horizontal="center" vertical="center" wrapText="1"/>
    </xf>
    <xf numFmtId="166" fontId="0" fillId="6" borderId="2" xfId="0" applyNumberFormat="1" applyFill="1" applyBorder="1" applyAlignment="1">
      <alignment horizontal="center" vertical="center" wrapText="1"/>
    </xf>
    <xf numFmtId="1" fontId="0" fillId="6" borderId="2" xfId="0" applyNumberFormat="1" applyFill="1" applyBorder="1" applyAlignment="1">
      <alignment horizontal="center" vertical="center" wrapText="1"/>
    </xf>
    <xf numFmtId="169" fontId="0" fillId="6" borderId="2" xfId="1" applyNumberFormat="1" applyFont="1" applyFill="1" applyBorder="1" applyAlignment="1">
      <alignment horizontal="center" vertical="center" wrapText="1"/>
    </xf>
    <xf numFmtId="1" fontId="0" fillId="6" borderId="18" xfId="0" applyNumberFormat="1" applyFill="1" applyBorder="1" applyAlignment="1">
      <alignment horizontal="center" vertical="center" wrapText="1"/>
    </xf>
    <xf numFmtId="1" fontId="5" fillId="6" borderId="19" xfId="0" applyNumberFormat="1" applyFont="1" applyFill="1" applyBorder="1" applyAlignment="1">
      <alignment horizontal="center" vertical="center" wrapText="1"/>
    </xf>
    <xf numFmtId="1" fontId="0" fillId="6" borderId="23" xfId="0" applyNumberFormat="1" applyFill="1" applyBorder="1" applyAlignment="1">
      <alignment horizontal="center" vertical="center" wrapText="1"/>
    </xf>
    <xf numFmtId="1" fontId="0" fillId="6" borderId="19" xfId="0" applyNumberFormat="1" applyFill="1" applyBorder="1" applyAlignment="1">
      <alignment horizontal="center" vertical="center" wrapText="1"/>
    </xf>
    <xf numFmtId="1" fontId="5" fillId="6" borderId="2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8" fontId="0" fillId="0" borderId="24" xfId="0" applyNumberFormat="1" applyBorder="1" applyAlignment="1">
      <alignment horizontal="center" vertical="center" wrapText="1"/>
    </xf>
    <xf numFmtId="168" fontId="0" fillId="0" borderId="26" xfId="0" applyNumberFormat="1" applyBorder="1" applyAlignment="1">
      <alignment horizontal="center" vertical="center" wrapText="1"/>
    </xf>
    <xf numFmtId="165" fontId="0" fillId="0" borderId="27" xfId="0" applyNumberFormat="1" applyBorder="1" applyAlignment="1">
      <alignment horizontal="center" vertical="center" wrapText="1"/>
    </xf>
    <xf numFmtId="168" fontId="0" fillId="0" borderId="28" xfId="0" applyNumberFormat="1" applyBorder="1" applyAlignment="1">
      <alignment horizontal="center" vertical="center" wrapText="1"/>
    </xf>
    <xf numFmtId="165" fontId="5" fillId="0" borderId="25" xfId="0" applyNumberFormat="1" applyFont="1" applyBorder="1" applyAlignment="1">
      <alignment horizontal="center" vertical="center" wrapText="1"/>
    </xf>
    <xf numFmtId="165" fontId="0" fillId="0" borderId="28" xfId="0" applyNumberFormat="1" applyBorder="1" applyAlignment="1">
      <alignment horizontal="center" vertical="center" wrapText="1"/>
    </xf>
    <xf numFmtId="168" fontId="3" fillId="0" borderId="25" xfId="0" applyNumberFormat="1" applyFont="1" applyBorder="1" applyAlignment="1">
      <alignment horizontal="center" vertical="center" wrapText="1"/>
    </xf>
    <xf numFmtId="165" fontId="5" fillId="0" borderId="27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169" fontId="0" fillId="0" borderId="4" xfId="1" applyNumberFormat="1" applyFont="1" applyBorder="1" applyAlignment="1">
      <alignment horizontal="center" vertical="center" wrapText="1"/>
    </xf>
    <xf numFmtId="1" fontId="0" fillId="0" borderId="24" xfId="0" applyNumberFormat="1" applyBorder="1" applyAlignment="1">
      <alignment horizontal="center" vertical="center" wrapText="1"/>
    </xf>
    <xf numFmtId="1" fontId="5" fillId="0" borderId="25" xfId="0" applyNumberFormat="1" applyFont="1" applyBorder="1" applyAlignment="1">
      <alignment horizontal="center" vertical="center" wrapText="1"/>
    </xf>
    <xf numFmtId="1" fontId="0" fillId="0" borderId="30" xfId="0" applyNumberFormat="1" applyBorder="1" applyAlignment="1">
      <alignment horizontal="center" vertical="center" wrapText="1"/>
    </xf>
    <xf numFmtId="1" fontId="0" fillId="0" borderId="25" xfId="0" applyNumberForma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 wrapText="1"/>
    </xf>
    <xf numFmtId="165" fontId="0" fillId="0" borderId="14" xfId="0" applyNumberFormat="1" applyBorder="1" applyAlignment="1">
      <alignment horizontal="center" vertical="center" wrapText="1"/>
    </xf>
    <xf numFmtId="165" fontId="5" fillId="0" borderId="13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165" fontId="0" fillId="0" borderId="18" xfId="0" applyNumberFormat="1" applyBorder="1" applyAlignment="1">
      <alignment horizontal="center" vertical="center" wrapText="1"/>
    </xf>
    <xf numFmtId="165" fontId="0" fillId="0" borderId="20" xfId="0" applyNumberFormat="1" applyBorder="1" applyAlignment="1">
      <alignment horizontal="center" vertical="center" wrapText="1"/>
    </xf>
    <xf numFmtId="165" fontId="3" fillId="0" borderId="19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164" fontId="0" fillId="0" borderId="31" xfId="0" applyNumberFormat="1" applyBorder="1" applyAlignment="1">
      <alignment horizontal="center" vertical="center" wrapText="1"/>
    </xf>
    <xf numFmtId="164" fontId="0" fillId="0" borderId="33" xfId="0" applyNumberFormat="1" applyBorder="1" applyAlignment="1">
      <alignment horizontal="center" vertical="center" wrapText="1"/>
    </xf>
    <xf numFmtId="165" fontId="0" fillId="0" borderId="31" xfId="0" applyNumberFormat="1" applyBorder="1" applyAlignment="1">
      <alignment horizontal="center" vertical="center" wrapText="1"/>
    </xf>
    <xf numFmtId="165" fontId="0" fillId="0" borderId="33" xfId="0" applyNumberFormat="1" applyBorder="1" applyAlignment="1">
      <alignment horizontal="center" vertical="center" wrapText="1"/>
    </xf>
    <xf numFmtId="165" fontId="0" fillId="0" borderId="34" xfId="0" applyNumberFormat="1" applyBorder="1" applyAlignment="1">
      <alignment horizontal="center" vertical="center" wrapText="1"/>
    </xf>
    <xf numFmtId="165" fontId="0" fillId="0" borderId="35" xfId="0" applyNumberFormat="1" applyBorder="1" applyAlignment="1">
      <alignment horizontal="center" vertical="center" wrapText="1"/>
    </xf>
    <xf numFmtId="165" fontId="5" fillId="0" borderId="32" xfId="0" applyNumberFormat="1" applyFont="1" applyBorder="1" applyAlignment="1">
      <alignment horizontal="center" vertical="center" wrapText="1"/>
    </xf>
    <xf numFmtId="165" fontId="3" fillId="0" borderId="32" xfId="0" applyNumberFormat="1" applyFont="1" applyBorder="1" applyAlignment="1">
      <alignment horizontal="center" vertical="center" wrapText="1"/>
    </xf>
    <xf numFmtId="165" fontId="5" fillId="0" borderId="34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4" fontId="0" fillId="0" borderId="36" xfId="0" applyNumberFormat="1" applyBorder="1" applyAlignment="1">
      <alignment horizontal="center" vertical="center" wrapText="1"/>
    </xf>
    <xf numFmtId="1" fontId="0" fillId="0" borderId="36" xfId="0" applyNumberFormat="1" applyBorder="1" applyAlignment="1">
      <alignment horizontal="center" vertical="center" wrapText="1"/>
    </xf>
    <xf numFmtId="169" fontId="0" fillId="0" borderId="36" xfId="1" applyNumberFormat="1" applyFont="1" applyBorder="1" applyAlignment="1">
      <alignment horizontal="center" vertical="center" wrapText="1"/>
    </xf>
    <xf numFmtId="1" fontId="5" fillId="0" borderId="32" xfId="0" applyNumberFormat="1" applyFont="1" applyBorder="1" applyAlignment="1">
      <alignment horizontal="center" vertical="center" wrapText="1"/>
    </xf>
    <xf numFmtId="1" fontId="0" fillId="0" borderId="31" xfId="0" applyNumberFormat="1" applyBorder="1" applyAlignment="1">
      <alignment horizontal="center" vertical="center" wrapText="1"/>
    </xf>
    <xf numFmtId="1" fontId="0" fillId="0" borderId="37" xfId="0" applyNumberFormat="1" applyBorder="1" applyAlignment="1">
      <alignment horizontal="center" vertical="center" wrapText="1"/>
    </xf>
    <xf numFmtId="1" fontId="0" fillId="0" borderId="32" xfId="0" applyNumberFormat="1" applyBorder="1" applyAlignment="1">
      <alignment horizontal="center" vertical="center" wrapText="1"/>
    </xf>
    <xf numFmtId="1" fontId="5" fillId="0" borderId="36" xfId="0" applyNumberFormat="1" applyFont="1" applyBorder="1" applyAlignment="1">
      <alignment horizontal="center" vertical="center" wrapText="1"/>
    </xf>
    <xf numFmtId="170" fontId="0" fillId="0" borderId="0" xfId="0" applyNumberFormat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164" fontId="0" fillId="5" borderId="38" xfId="0" applyNumberFormat="1" applyFill="1" applyBorder="1" applyAlignment="1">
      <alignment horizontal="center" vertical="center" wrapText="1"/>
    </xf>
    <xf numFmtId="170" fontId="0" fillId="5" borderId="39" xfId="0" applyNumberFormat="1" applyFill="1" applyBorder="1" applyAlignment="1">
      <alignment horizontal="center" vertical="center" wrapText="1"/>
    </xf>
    <xf numFmtId="165" fontId="0" fillId="5" borderId="12" xfId="0" applyNumberFormat="1" applyFill="1" applyBorder="1" applyAlignment="1">
      <alignment horizontal="center" vertical="center" wrapText="1"/>
    </xf>
    <xf numFmtId="165" fontId="0" fillId="5" borderId="14" xfId="0" applyNumberFormat="1" applyFill="1" applyBorder="1" applyAlignment="1">
      <alignment horizontal="center" vertical="center" wrapText="1"/>
    </xf>
    <xf numFmtId="165" fontId="0" fillId="5" borderId="15" xfId="0" applyNumberFormat="1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165" fontId="5" fillId="5" borderId="13" xfId="0" applyNumberFormat="1" applyFont="1" applyFill="1" applyBorder="1" applyAlignment="1">
      <alignment horizontal="center" vertical="center" wrapText="1"/>
    </xf>
    <xf numFmtId="0" fontId="0" fillId="5" borderId="38" xfId="0" applyFill="1" applyBorder="1" applyAlignment="1">
      <alignment horizontal="center" vertical="center" wrapText="1"/>
    </xf>
    <xf numFmtId="0" fontId="0" fillId="5" borderId="40" xfId="0" applyFill="1" applyBorder="1" applyAlignment="1">
      <alignment horizontal="center" vertical="center" wrapText="1"/>
    </xf>
    <xf numFmtId="171" fontId="0" fillId="5" borderId="38" xfId="0" applyNumberFormat="1" applyFill="1" applyBorder="1" applyAlignment="1">
      <alignment horizontal="center" vertical="center" wrapText="1"/>
    </xf>
    <xf numFmtId="165" fontId="0" fillId="5" borderId="41" xfId="0" applyNumberFormat="1" applyFill="1" applyBorder="1" applyAlignment="1">
      <alignment horizontal="center" vertical="center" wrapText="1"/>
    </xf>
    <xf numFmtId="165" fontId="7" fillId="5" borderId="40" xfId="0" applyNumberFormat="1" applyFont="1" applyFill="1" applyBorder="1" applyAlignment="1">
      <alignment horizontal="center" vertical="center" wrapText="1"/>
    </xf>
    <xf numFmtId="165" fontId="5" fillId="5" borderId="42" xfId="0" applyNumberFormat="1" applyFont="1" applyFill="1" applyBorder="1" applyAlignment="1">
      <alignment horizontal="center" vertical="center" wrapText="1"/>
    </xf>
    <xf numFmtId="1" fontId="6" fillId="5" borderId="43" xfId="0" applyNumberFormat="1" applyFont="1" applyFill="1" applyBorder="1" applyAlignment="1">
      <alignment horizontal="center" vertical="center" wrapText="1"/>
    </xf>
    <xf numFmtId="164" fontId="0" fillId="5" borderId="43" xfId="0" applyNumberFormat="1" applyFill="1" applyBorder="1" applyAlignment="1">
      <alignment horizontal="center" vertical="center" wrapText="1"/>
    </xf>
    <xf numFmtId="1" fontId="0" fillId="5" borderId="43" xfId="0" applyNumberFormat="1" applyFill="1" applyBorder="1" applyAlignment="1">
      <alignment horizontal="center" vertical="center" wrapText="1"/>
    </xf>
    <xf numFmtId="169" fontId="0" fillId="5" borderId="43" xfId="1" applyNumberFormat="1" applyFont="1" applyFill="1" applyBorder="1" applyAlignment="1">
      <alignment horizontal="center" vertical="center" wrapText="1"/>
    </xf>
    <xf numFmtId="1" fontId="0" fillId="5" borderId="38" xfId="0" applyNumberFormat="1" applyFill="1" applyBorder="1" applyAlignment="1">
      <alignment horizontal="center" vertical="center" wrapText="1"/>
    </xf>
    <xf numFmtId="1" fontId="5" fillId="5" borderId="40" xfId="0" applyNumberFormat="1" applyFont="1" applyFill="1" applyBorder="1" applyAlignment="1">
      <alignment horizontal="center" vertical="center" wrapText="1"/>
    </xf>
    <xf numFmtId="1" fontId="0" fillId="5" borderId="44" xfId="0" applyNumberFormat="1" applyFill="1" applyBorder="1" applyAlignment="1">
      <alignment horizontal="center" vertical="center" wrapText="1"/>
    </xf>
    <xf numFmtId="1" fontId="0" fillId="5" borderId="40" xfId="0" applyNumberFormat="1" applyFill="1" applyBorder="1" applyAlignment="1">
      <alignment horizontal="center" vertical="center" wrapText="1"/>
    </xf>
    <xf numFmtId="1" fontId="5" fillId="5" borderId="43" xfId="0" applyNumberFormat="1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168" fontId="0" fillId="0" borderId="19" xfId="0" applyNumberFormat="1" applyBorder="1" applyAlignment="1">
      <alignment horizontal="center" vertical="center" wrapText="1"/>
    </xf>
    <xf numFmtId="165" fontId="0" fillId="7" borderId="45" xfId="0" applyNumberFormat="1" applyFill="1" applyBorder="1" applyAlignment="1">
      <alignment horizontal="center" vertical="center" wrapText="1"/>
    </xf>
    <xf numFmtId="165" fontId="0" fillId="7" borderId="47" xfId="0" applyNumberFormat="1" applyFill="1" applyBorder="1" applyAlignment="1">
      <alignment horizontal="center" vertical="center" wrapText="1"/>
    </xf>
    <xf numFmtId="165" fontId="0" fillId="7" borderId="48" xfId="0" applyNumberFormat="1" applyFill="1" applyBorder="1" applyAlignment="1">
      <alignment horizontal="center" vertical="center" wrapText="1"/>
    </xf>
    <xf numFmtId="165" fontId="0" fillId="7" borderId="0" xfId="0" applyNumberFormat="1" applyFill="1" applyAlignment="1">
      <alignment horizontal="center" vertical="center" wrapText="1"/>
    </xf>
    <xf numFmtId="168" fontId="5" fillId="0" borderId="46" xfId="0" applyNumberFormat="1" applyFont="1" applyBorder="1" applyAlignment="1">
      <alignment horizontal="center" vertical="center" wrapText="1"/>
    </xf>
    <xf numFmtId="171" fontId="0" fillId="0" borderId="18" xfId="0" applyNumberForma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8" fillId="6" borderId="35" xfId="0" applyFont="1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164" fontId="0" fillId="6" borderId="24" xfId="0" applyNumberFormat="1" applyFill="1" applyBorder="1" applyAlignment="1">
      <alignment horizontal="center" vertical="center" wrapText="1"/>
    </xf>
    <xf numFmtId="164" fontId="0" fillId="6" borderId="26" xfId="0" applyNumberFormat="1" applyFill="1" applyBorder="1" applyAlignment="1">
      <alignment horizontal="center" vertical="center" wrapText="1"/>
    </xf>
    <xf numFmtId="165" fontId="0" fillId="6" borderId="24" xfId="0" applyNumberFormat="1" applyFill="1" applyBorder="1" applyAlignment="1">
      <alignment horizontal="center" vertical="center" wrapText="1"/>
    </xf>
    <xf numFmtId="165" fontId="0" fillId="6" borderId="26" xfId="0" applyNumberFormat="1" applyFill="1" applyBorder="1" applyAlignment="1">
      <alignment horizontal="center" vertical="center" wrapText="1"/>
    </xf>
    <xf numFmtId="165" fontId="0" fillId="6" borderId="27" xfId="0" applyNumberFormat="1" applyFill="1" applyBorder="1" applyAlignment="1">
      <alignment horizontal="center" vertical="center" wrapText="1"/>
    </xf>
    <xf numFmtId="165" fontId="0" fillId="6" borderId="28" xfId="0" applyNumberFormat="1" applyFill="1" applyBorder="1" applyAlignment="1">
      <alignment horizontal="center" vertical="center" wrapText="1"/>
    </xf>
    <xf numFmtId="165" fontId="5" fillId="6" borderId="25" xfId="0" applyNumberFormat="1" applyFont="1" applyFill="1" applyBorder="1" applyAlignment="1">
      <alignment horizontal="center" vertical="center" wrapText="1"/>
    </xf>
    <xf numFmtId="165" fontId="3" fillId="6" borderId="25" xfId="0" applyNumberFormat="1" applyFont="1" applyFill="1" applyBorder="1" applyAlignment="1">
      <alignment horizontal="center" vertical="center" wrapText="1"/>
    </xf>
    <xf numFmtId="165" fontId="5" fillId="6" borderId="27" xfId="0" applyNumberFormat="1" applyFont="1" applyFill="1" applyBorder="1" applyAlignment="1">
      <alignment horizontal="center" vertical="center" wrapText="1"/>
    </xf>
    <xf numFmtId="1" fontId="6" fillId="6" borderId="4" xfId="0" applyNumberFormat="1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1" fontId="0" fillId="6" borderId="4" xfId="0" applyNumberFormat="1" applyFill="1" applyBorder="1" applyAlignment="1">
      <alignment horizontal="center" vertical="center" wrapText="1"/>
    </xf>
    <xf numFmtId="169" fontId="0" fillId="6" borderId="4" xfId="1" applyNumberFormat="1" applyFont="1" applyFill="1" applyBorder="1" applyAlignment="1">
      <alignment horizontal="center" vertical="center" wrapText="1"/>
    </xf>
    <xf numFmtId="1" fontId="0" fillId="6" borderId="24" xfId="0" applyNumberFormat="1" applyFill="1" applyBorder="1" applyAlignment="1">
      <alignment horizontal="center" vertical="center" wrapText="1"/>
    </xf>
    <xf numFmtId="1" fontId="5" fillId="6" borderId="25" xfId="0" applyNumberFormat="1" applyFont="1" applyFill="1" applyBorder="1" applyAlignment="1">
      <alignment horizontal="center" vertical="center" wrapText="1"/>
    </xf>
    <xf numFmtId="1" fontId="0" fillId="6" borderId="30" xfId="0" applyNumberFormat="1" applyFill="1" applyBorder="1" applyAlignment="1">
      <alignment horizontal="center" vertical="center" wrapText="1"/>
    </xf>
    <xf numFmtId="1" fontId="0" fillId="6" borderId="25" xfId="0" applyNumberForma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8" fontId="8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wrapText="1"/>
    </xf>
  </cellXfs>
  <cellStyles count="3">
    <cellStyle name="Milliers" xfId="1" builtinId="3"/>
    <cellStyle name="Normal" xfId="0" builtinId="0"/>
    <cellStyle name="Pourcentage" xfId="2" builtinId="5"/>
  </cellStyles>
  <dxfs count="6"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C00000"/>
      </font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2B19B-BAA5-4734-94E9-F6F4A4FC5F42}">
  <dimension ref="A1:AB46"/>
  <sheetViews>
    <sheetView tabSelected="1" topLeftCell="A24" zoomScale="115" zoomScaleNormal="115" workbookViewId="0">
      <pane xSplit="1" topLeftCell="L1" activePane="topRight" state="frozen"/>
      <selection pane="topRight" activeCell="S32" sqref="S32"/>
    </sheetView>
  </sheetViews>
  <sheetFormatPr baseColWidth="10" defaultColWidth="10.81640625" defaultRowHeight="14.5" x14ac:dyDescent="0.35"/>
  <cols>
    <col min="1" max="1" width="19.453125" style="2" bestFit="1" customWidth="1"/>
    <col min="2" max="2" width="20.81640625" style="2" bestFit="1" customWidth="1"/>
    <col min="3" max="27" width="10.7265625" style="2" customWidth="1"/>
    <col min="28" max="28" width="20.81640625" style="2" customWidth="1"/>
    <col min="29" max="16384" width="10.81640625" style="2"/>
  </cols>
  <sheetData>
    <row r="1" spans="1:28" ht="30" customHeight="1" x14ac:dyDescent="0.35">
      <c r="A1" s="1" t="s">
        <v>75</v>
      </c>
    </row>
    <row r="2" spans="1:28" x14ac:dyDescent="0.35">
      <c r="A2" s="3">
        <v>20000</v>
      </c>
      <c r="B2" s="4"/>
    </row>
    <row r="3" spans="1:28" ht="15" thickBot="1" x14ac:dyDescent="0.4">
      <c r="A3" s="5">
        <f>A2*A6</f>
        <v>21424</v>
      </c>
      <c r="B3" s="4"/>
    </row>
    <row r="4" spans="1:28" ht="30" customHeight="1" x14ac:dyDescent="0.35">
      <c r="A4" s="6" t="s">
        <v>0</v>
      </c>
      <c r="B4" s="4"/>
    </row>
    <row r="5" spans="1:28" x14ac:dyDescent="0.35">
      <c r="A5" s="7">
        <v>1</v>
      </c>
      <c r="B5" s="8"/>
    </row>
    <row r="6" spans="1:28" ht="15" thickBot="1" x14ac:dyDescent="0.4">
      <c r="A6" s="9">
        <v>1.0711999999999999</v>
      </c>
      <c r="B6" s="10" t="s">
        <v>74</v>
      </c>
    </row>
    <row r="7" spans="1:28" ht="30" customHeight="1" x14ac:dyDescent="0.35">
      <c r="A7" s="11" t="s">
        <v>1</v>
      </c>
      <c r="B7" s="225">
        <v>-0.3</v>
      </c>
    </row>
    <row r="8" spans="1:28" x14ac:dyDescent="0.35">
      <c r="A8" s="12">
        <v>3000</v>
      </c>
      <c r="B8" s="226">
        <f>A8-(A8*0.3)</f>
        <v>2100</v>
      </c>
    </row>
    <row r="9" spans="1:28" ht="15" thickBot="1" x14ac:dyDescent="0.4">
      <c r="A9" s="13">
        <f>A8*A6</f>
        <v>3213.6</v>
      </c>
      <c r="B9" s="10"/>
    </row>
    <row r="10" spans="1:28" x14ac:dyDescent="0.35">
      <c r="A10" s="11" t="s">
        <v>2</v>
      </c>
      <c r="B10" s="10"/>
    </row>
    <row r="11" spans="1:28" ht="15" thickBot="1" x14ac:dyDescent="0.4">
      <c r="A11" s="14">
        <v>3</v>
      </c>
      <c r="B11" s="10"/>
    </row>
    <row r="12" spans="1:28" ht="15" thickBot="1" x14ac:dyDescent="0.4"/>
    <row r="13" spans="1:28" ht="102" customHeight="1" thickBot="1" x14ac:dyDescent="0.4">
      <c r="A13" s="15" t="s">
        <v>3</v>
      </c>
      <c r="B13" s="16" t="s">
        <v>4</v>
      </c>
      <c r="C13" s="15" t="s">
        <v>5</v>
      </c>
      <c r="D13" s="16" t="s">
        <v>6</v>
      </c>
      <c r="E13" s="15" t="s">
        <v>7</v>
      </c>
      <c r="F13" s="17" t="s">
        <v>8</v>
      </c>
      <c r="G13" s="15" t="s">
        <v>9</v>
      </c>
      <c r="H13" s="17" t="s">
        <v>10</v>
      </c>
      <c r="I13" s="15" t="s">
        <v>11</v>
      </c>
      <c r="J13" s="18" t="s">
        <v>12</v>
      </c>
      <c r="K13" s="19" t="s">
        <v>13</v>
      </c>
      <c r="L13" s="20" t="s">
        <v>14</v>
      </c>
      <c r="M13" s="15" t="s">
        <v>15</v>
      </c>
      <c r="N13" s="16" t="s">
        <v>16</v>
      </c>
      <c r="O13" s="15" t="s">
        <v>17</v>
      </c>
      <c r="P13" s="21" t="s">
        <v>18</v>
      </c>
      <c r="Q13" s="16" t="s">
        <v>19</v>
      </c>
      <c r="R13" s="20" t="s">
        <v>20</v>
      </c>
      <c r="S13" s="22" t="s">
        <v>21</v>
      </c>
      <c r="T13" s="23" t="s">
        <v>22</v>
      </c>
      <c r="U13" s="23" t="s">
        <v>23</v>
      </c>
      <c r="V13" s="23" t="s">
        <v>24</v>
      </c>
      <c r="W13" s="15" t="s">
        <v>25</v>
      </c>
      <c r="X13" s="24" t="s">
        <v>26</v>
      </c>
      <c r="Y13" s="15" t="s">
        <v>27</v>
      </c>
      <c r="Z13" s="25" t="s">
        <v>28</v>
      </c>
      <c r="AA13" s="16" t="s">
        <v>29</v>
      </c>
      <c r="AB13" s="24" t="s">
        <v>30</v>
      </c>
    </row>
    <row r="14" spans="1:28" ht="20.149999999999999" customHeight="1" x14ac:dyDescent="0.35">
      <c r="A14" s="26" t="s">
        <v>31</v>
      </c>
      <c r="B14" s="27" t="s">
        <v>32</v>
      </c>
      <c r="C14" s="26">
        <v>1</v>
      </c>
      <c r="D14" s="27">
        <v>1</v>
      </c>
      <c r="E14" s="28">
        <v>5</v>
      </c>
      <c r="F14" s="29">
        <f t="shared" ref="F14:F22" si="0">E14*C14</f>
        <v>5</v>
      </c>
      <c r="G14" s="30">
        <v>0.85</v>
      </c>
      <c r="H14" s="31">
        <v>1.3</v>
      </c>
      <c r="I14" s="30">
        <f>G14+H14</f>
        <v>2.15</v>
      </c>
      <c r="J14" s="32">
        <f>I14/$A$6</f>
        <v>2.0070948469006722</v>
      </c>
      <c r="K14" s="33">
        <f t="shared" ref="K14:K22" si="1">I14*2</f>
        <v>4.3</v>
      </c>
      <c r="L14" s="34">
        <f>K14/$A$6</f>
        <v>4.0141896938013444</v>
      </c>
      <c r="M14" s="26">
        <f>IF(C14=D14,ROUNDUP((K14/E14),0),ROUNDUP(((K14/E14)/C14),0))</f>
        <v>1</v>
      </c>
      <c r="N14" s="27">
        <f t="shared" ref="N14:N22" si="2">M14*C14</f>
        <v>1</v>
      </c>
      <c r="O14" s="30">
        <f>(E14*N14)-K14</f>
        <v>0.70000000000000018</v>
      </c>
      <c r="P14" s="35">
        <f>O14/$A$6</f>
        <v>0.65347274085138185</v>
      </c>
      <c r="Q14" s="36">
        <f t="shared" ref="Q14:Q22" si="3">(E14*(ROUNDUP(N14,0))-K14)</f>
        <v>0.70000000000000018</v>
      </c>
      <c r="R14" s="37">
        <f>Q14/$A$6</f>
        <v>0.65347274085138185</v>
      </c>
      <c r="S14" s="38">
        <f>(Q14*100)/E14</f>
        <v>14.000000000000004</v>
      </c>
      <c r="T14" s="39">
        <v>10690</v>
      </c>
      <c r="U14" s="40">
        <f>ROUNDDOWN($A$3/T14,0)</f>
        <v>2</v>
      </c>
      <c r="V14" s="41">
        <v>33000</v>
      </c>
      <c r="W14" s="42">
        <f>(V14*E14)/$A$3</f>
        <v>7.7016430171769974</v>
      </c>
      <c r="X14" s="43">
        <f>ROUNDDOWN((($A$3*$A$11)/(E14*V14)),0)</f>
        <v>0</v>
      </c>
      <c r="Y14" s="42">
        <f>$A$9/E14</f>
        <v>642.72</v>
      </c>
      <c r="Z14" s="44">
        <f t="shared" ref="Z14:AA22" si="4">Y14/4</f>
        <v>160.68</v>
      </c>
      <c r="AA14" s="45">
        <f t="shared" si="4"/>
        <v>40.17</v>
      </c>
      <c r="AB14" s="46" t="str">
        <f t="shared" ref="AB14:AB22" si="5">IFERROR((AA14/X14),"capital insufisant")</f>
        <v>capital insufisant</v>
      </c>
    </row>
    <row r="15" spans="1:28" ht="20.149999999999999" customHeight="1" x14ac:dyDescent="0.35">
      <c r="A15" s="47" t="s">
        <v>33</v>
      </c>
      <c r="B15" s="48" t="s">
        <v>34</v>
      </c>
      <c r="C15" s="47">
        <v>1</v>
      </c>
      <c r="D15" s="48">
        <v>1</v>
      </c>
      <c r="E15" s="49">
        <v>0.5</v>
      </c>
      <c r="F15" s="50">
        <f t="shared" si="0"/>
        <v>0.5</v>
      </c>
      <c r="G15" s="49">
        <v>0.3</v>
      </c>
      <c r="H15" s="50">
        <v>0.32</v>
      </c>
      <c r="I15" s="49">
        <f t="shared" ref="I15:I22" si="6">G15+H15</f>
        <v>0.62</v>
      </c>
      <c r="J15" s="51">
        <f>I15/$A$6</f>
        <v>0.578790141896938</v>
      </c>
      <c r="K15" s="52">
        <f t="shared" si="1"/>
        <v>1.24</v>
      </c>
      <c r="L15" s="53">
        <f>K15/$A$6</f>
        <v>1.157580283793876</v>
      </c>
      <c r="M15" s="47">
        <f t="shared" ref="M15:M22" si="7">IF(C15=D15,ROUNDUP((K15/E15),0),ROUNDUP(((K15/E15)/C15),0))</f>
        <v>3</v>
      </c>
      <c r="N15" s="48">
        <f t="shared" si="2"/>
        <v>3</v>
      </c>
      <c r="O15" s="49">
        <f t="shared" ref="O15:O22" si="8">(E15*N15)-K15</f>
        <v>0.26</v>
      </c>
      <c r="P15" s="54">
        <f>O15/$A$6</f>
        <v>0.24271844660194178</v>
      </c>
      <c r="Q15" s="55">
        <f t="shared" si="3"/>
        <v>0.26</v>
      </c>
      <c r="R15" s="56">
        <f>Q15/$A$6</f>
        <v>0.24271844660194178</v>
      </c>
      <c r="S15" s="57">
        <f>(Q15*100)/E15</f>
        <v>52</v>
      </c>
      <c r="T15" s="58">
        <v>1069</v>
      </c>
      <c r="U15" s="59">
        <f>ROUNDDOWN($A$3/T15,0)</f>
        <v>20</v>
      </c>
      <c r="V15" s="60">
        <v>33000</v>
      </c>
      <c r="W15" s="61">
        <f>(V15*E15)/$A$3</f>
        <v>0.77016430171769978</v>
      </c>
      <c r="X15" s="62">
        <f>ROUNDDOWN((($A$3*$A$11)/(E15*V15)),0)</f>
        <v>3</v>
      </c>
      <c r="Y15" s="61">
        <f>$A$9/E15</f>
        <v>6427.2</v>
      </c>
      <c r="Z15" s="63">
        <f t="shared" si="4"/>
        <v>1606.8</v>
      </c>
      <c r="AA15" s="64">
        <f t="shared" si="4"/>
        <v>401.7</v>
      </c>
      <c r="AB15" s="65">
        <f t="shared" si="5"/>
        <v>133.9</v>
      </c>
    </row>
    <row r="16" spans="1:28" ht="20.149999999999999" customHeight="1" x14ac:dyDescent="0.35">
      <c r="A16" s="66" t="s">
        <v>76</v>
      </c>
      <c r="B16" s="67" t="s">
        <v>35</v>
      </c>
      <c r="C16" s="66">
        <v>0.25</v>
      </c>
      <c r="D16" s="67">
        <v>1</v>
      </c>
      <c r="E16" s="68">
        <v>20</v>
      </c>
      <c r="F16" s="69">
        <f t="shared" si="0"/>
        <v>5</v>
      </c>
      <c r="G16" s="70">
        <v>0.85</v>
      </c>
      <c r="H16" s="71">
        <v>1.3</v>
      </c>
      <c r="I16" s="70">
        <f t="shared" si="6"/>
        <v>2.15</v>
      </c>
      <c r="J16" s="72">
        <f t="shared" ref="J16:J17" si="9">I16/$A$6</f>
        <v>2.0070948469006722</v>
      </c>
      <c r="K16" s="73">
        <f t="shared" si="1"/>
        <v>4.3</v>
      </c>
      <c r="L16" s="74">
        <f t="shared" ref="L16:L17" si="10">K16/$A$6</f>
        <v>4.0141896938013444</v>
      </c>
      <c r="M16" s="66">
        <f t="shared" si="7"/>
        <v>1</v>
      </c>
      <c r="N16" s="67">
        <f t="shared" si="2"/>
        <v>0.25</v>
      </c>
      <c r="O16" s="70">
        <f t="shared" si="8"/>
        <v>0.70000000000000018</v>
      </c>
      <c r="P16" s="75">
        <f t="shared" ref="P16:P17" si="11">O16/$A$6</f>
        <v>0.65347274085138185</v>
      </c>
      <c r="Q16" s="76">
        <f t="shared" si="3"/>
        <v>15.7</v>
      </c>
      <c r="R16" s="77">
        <f>Q16/$A$6</f>
        <v>14.65646004480956</v>
      </c>
      <c r="S16" s="78">
        <f t="shared" ref="S16:S22" si="12">(Q16*100)/E16</f>
        <v>78.5</v>
      </c>
      <c r="T16" s="79">
        <v>19548</v>
      </c>
      <c r="U16" s="80">
        <f>ROUNDDOWN($A$3/T16,0)</f>
        <v>1</v>
      </c>
      <c r="V16" s="81">
        <v>13000</v>
      </c>
      <c r="W16" s="82">
        <f>(V16*E16)/$A$3</f>
        <v>12.135922330097088</v>
      </c>
      <c r="X16" s="83">
        <f>ROUNDDOWN((($A$3*$A$11)/(E16*V16)),0)</f>
        <v>0</v>
      </c>
      <c r="Y16" s="82">
        <f>$A$9/E16</f>
        <v>160.68</v>
      </c>
      <c r="Z16" s="84">
        <f t="shared" si="4"/>
        <v>40.17</v>
      </c>
      <c r="AA16" s="85">
        <f t="shared" si="4"/>
        <v>10.0425</v>
      </c>
      <c r="AB16" s="86" t="str">
        <f t="shared" si="5"/>
        <v>capital insufisant</v>
      </c>
    </row>
    <row r="17" spans="1:28" ht="20.149999999999999" customHeight="1" x14ac:dyDescent="0.35">
      <c r="A17" s="87" t="s">
        <v>77</v>
      </c>
      <c r="B17" s="88" t="s">
        <v>36</v>
      </c>
      <c r="C17" s="87">
        <v>0.25</v>
      </c>
      <c r="D17" s="88">
        <v>1</v>
      </c>
      <c r="E17" s="89">
        <v>2</v>
      </c>
      <c r="F17" s="90">
        <f t="shared" si="0"/>
        <v>0.5</v>
      </c>
      <c r="G17" s="91">
        <v>0.3</v>
      </c>
      <c r="H17" s="90">
        <v>0.32</v>
      </c>
      <c r="I17" s="91">
        <f t="shared" si="6"/>
        <v>0.62</v>
      </c>
      <c r="J17" s="92">
        <f t="shared" si="9"/>
        <v>0.578790141896938</v>
      </c>
      <c r="K17" s="93">
        <f t="shared" si="1"/>
        <v>1.24</v>
      </c>
      <c r="L17" s="94">
        <f t="shared" si="10"/>
        <v>1.157580283793876</v>
      </c>
      <c r="M17" s="87">
        <f t="shared" si="7"/>
        <v>3</v>
      </c>
      <c r="N17" s="88">
        <f t="shared" si="2"/>
        <v>0.75</v>
      </c>
      <c r="O17" s="91">
        <f t="shared" si="8"/>
        <v>0.26</v>
      </c>
      <c r="P17" s="95">
        <f t="shared" si="11"/>
        <v>0.24271844660194178</v>
      </c>
      <c r="Q17" s="96">
        <f t="shared" si="3"/>
        <v>0.76</v>
      </c>
      <c r="R17" s="97">
        <f>Q17/$A$6</f>
        <v>0.70948469006721437</v>
      </c>
      <c r="S17" s="98">
        <f t="shared" si="12"/>
        <v>38</v>
      </c>
      <c r="T17" s="99">
        <v>1955</v>
      </c>
      <c r="U17" s="100">
        <f>ROUNDDOWN($A$3/T17,0)</f>
        <v>10</v>
      </c>
      <c r="V17" s="101">
        <v>13000</v>
      </c>
      <c r="W17" s="102">
        <f>(V17*E17)/$A$3</f>
        <v>1.2135922330097086</v>
      </c>
      <c r="X17" s="103">
        <f>ROUNDDOWN((($A$3*$A$11)/(E17*V17)),0)</f>
        <v>2</v>
      </c>
      <c r="Y17" s="102">
        <f>$A$9/E17</f>
        <v>1606.8</v>
      </c>
      <c r="Z17" s="104">
        <f t="shared" si="4"/>
        <v>401.7</v>
      </c>
      <c r="AA17" s="105">
        <f t="shared" si="4"/>
        <v>100.425</v>
      </c>
      <c r="AB17" s="106">
        <f t="shared" si="5"/>
        <v>50.212499999999999</v>
      </c>
    </row>
    <row r="18" spans="1:28" ht="20.149999999999999" customHeight="1" thickBot="1" x14ac:dyDescent="0.4">
      <c r="A18" s="107" t="s">
        <v>37</v>
      </c>
      <c r="B18" s="108" t="s">
        <v>38</v>
      </c>
      <c r="C18" s="107">
        <v>0.25</v>
      </c>
      <c r="D18" s="108">
        <v>1</v>
      </c>
      <c r="E18" s="109">
        <v>5</v>
      </c>
      <c r="F18" s="110">
        <f t="shared" si="0"/>
        <v>1.25</v>
      </c>
      <c r="G18" s="109">
        <v>0.3</v>
      </c>
      <c r="H18" s="110">
        <v>0.32</v>
      </c>
      <c r="I18" s="109">
        <f t="shared" si="6"/>
        <v>0.62</v>
      </c>
      <c r="J18" s="111">
        <f>I18/$A$6</f>
        <v>0.578790141896938</v>
      </c>
      <c r="K18" s="112">
        <f t="shared" si="1"/>
        <v>1.24</v>
      </c>
      <c r="L18" s="113">
        <f>K18/$A$6</f>
        <v>1.157580283793876</v>
      </c>
      <c r="M18" s="107">
        <f t="shared" si="7"/>
        <v>1</v>
      </c>
      <c r="N18" s="108">
        <f t="shared" si="2"/>
        <v>0.25</v>
      </c>
      <c r="O18" s="109">
        <f t="shared" si="8"/>
        <v>1.0000000000000009E-2</v>
      </c>
      <c r="P18" s="114">
        <f>O18/$A$6</f>
        <v>9.33532486930546E-3</v>
      </c>
      <c r="Q18" s="115">
        <f t="shared" si="3"/>
        <v>3.76</v>
      </c>
      <c r="R18" s="116">
        <f>Q18/$A$6</f>
        <v>3.51008215085885</v>
      </c>
      <c r="S18" s="117">
        <f t="shared" si="12"/>
        <v>75.2</v>
      </c>
      <c r="T18" s="13">
        <v>1487</v>
      </c>
      <c r="U18" s="118">
        <f>ROUNDDOWN($A$3/T18,0)</f>
        <v>14</v>
      </c>
      <c r="V18" s="119">
        <v>4500</v>
      </c>
      <c r="W18" s="120">
        <f>(V18*E18)/$A$3</f>
        <v>1.0502240477968634</v>
      </c>
      <c r="X18" s="121">
        <f>ROUNDDOWN((($A$3*$A$11)/(E18*V18)),0)</f>
        <v>2</v>
      </c>
      <c r="Y18" s="120">
        <f>$A$9/E18</f>
        <v>642.72</v>
      </c>
      <c r="Z18" s="122">
        <f t="shared" si="4"/>
        <v>160.68</v>
      </c>
      <c r="AA18" s="123">
        <f t="shared" si="4"/>
        <v>40.17</v>
      </c>
      <c r="AB18" s="124">
        <f t="shared" si="5"/>
        <v>20.085000000000001</v>
      </c>
    </row>
    <row r="19" spans="1:28" ht="20.149999999999999" customHeight="1" x14ac:dyDescent="0.35">
      <c r="A19" s="26" t="s">
        <v>39</v>
      </c>
      <c r="B19" s="27" t="s">
        <v>40</v>
      </c>
      <c r="C19" s="26">
        <v>0.5</v>
      </c>
      <c r="D19" s="27">
        <v>1</v>
      </c>
      <c r="E19" s="125">
        <v>10</v>
      </c>
      <c r="F19" s="126">
        <f t="shared" si="0"/>
        <v>5</v>
      </c>
      <c r="G19" s="127">
        <v>0.9</v>
      </c>
      <c r="H19" s="128">
        <v>0.33</v>
      </c>
      <c r="I19" s="127">
        <f t="shared" si="6"/>
        <v>1.23</v>
      </c>
      <c r="J19" s="32">
        <f>I19</f>
        <v>1.23</v>
      </c>
      <c r="K19" s="35">
        <f t="shared" si="1"/>
        <v>2.46</v>
      </c>
      <c r="L19" s="129">
        <f>K19</f>
        <v>2.46</v>
      </c>
      <c r="M19" s="26">
        <f t="shared" si="7"/>
        <v>1</v>
      </c>
      <c r="N19" s="27">
        <f t="shared" si="2"/>
        <v>0.5</v>
      </c>
      <c r="O19" s="127">
        <f t="shared" si="8"/>
        <v>2.54</v>
      </c>
      <c r="P19" s="35">
        <f>O19</f>
        <v>2.54</v>
      </c>
      <c r="Q19" s="130">
        <f>(E19*(ROUNDUP(N19,0))-K19)</f>
        <v>7.54</v>
      </c>
      <c r="R19" s="37">
        <f>Q19</f>
        <v>7.54</v>
      </c>
      <c r="S19" s="131">
        <f t="shared" si="12"/>
        <v>75.400000000000006</v>
      </c>
      <c r="T19" s="132">
        <v>5602</v>
      </c>
      <c r="U19" s="40">
        <f>ROUNDDOWN($A$2/T19,0)</f>
        <v>3</v>
      </c>
      <c r="V19" s="41">
        <v>7000</v>
      </c>
      <c r="W19" s="42">
        <f>(V19*E19)/$A$2</f>
        <v>3.5</v>
      </c>
      <c r="X19" s="43">
        <f>ROUNDDOWN((($A$2*$A$11)/(E19*V19)),0)</f>
        <v>0</v>
      </c>
      <c r="Y19" s="42">
        <f>$A$8/E19</f>
        <v>300</v>
      </c>
      <c r="Z19" s="44">
        <f t="shared" si="4"/>
        <v>75</v>
      </c>
      <c r="AA19" s="45">
        <f t="shared" si="4"/>
        <v>18.75</v>
      </c>
      <c r="AB19" s="46" t="str">
        <f t="shared" si="5"/>
        <v>capital insufisant</v>
      </c>
    </row>
    <row r="20" spans="1:28" ht="20.149999999999999" customHeight="1" x14ac:dyDescent="0.35">
      <c r="A20" s="66" t="s">
        <v>78</v>
      </c>
      <c r="B20" s="67" t="s">
        <v>41</v>
      </c>
      <c r="C20" s="66">
        <v>1</v>
      </c>
      <c r="D20" s="67">
        <v>1</v>
      </c>
      <c r="E20" s="133">
        <v>5</v>
      </c>
      <c r="F20" s="134">
        <f t="shared" si="0"/>
        <v>5</v>
      </c>
      <c r="G20" s="135">
        <v>0.5</v>
      </c>
      <c r="H20" s="136">
        <v>0.25</v>
      </c>
      <c r="I20" s="135">
        <f t="shared" si="6"/>
        <v>0.75</v>
      </c>
      <c r="J20" s="72">
        <f>I20</f>
        <v>0.75</v>
      </c>
      <c r="K20" s="75">
        <f t="shared" si="1"/>
        <v>1.5</v>
      </c>
      <c r="L20" s="74">
        <f>K20</f>
        <v>1.5</v>
      </c>
      <c r="M20" s="66">
        <f t="shared" si="7"/>
        <v>1</v>
      </c>
      <c r="N20" s="67">
        <f t="shared" si="2"/>
        <v>1</v>
      </c>
      <c r="O20" s="135">
        <f t="shared" si="8"/>
        <v>3.5</v>
      </c>
      <c r="P20" s="75">
        <f>O20</f>
        <v>3.5</v>
      </c>
      <c r="Q20" s="137">
        <f t="shared" si="3"/>
        <v>3.5</v>
      </c>
      <c r="R20" s="77">
        <f>Q20</f>
        <v>3.5</v>
      </c>
      <c r="S20" s="138">
        <f t="shared" si="12"/>
        <v>70</v>
      </c>
      <c r="T20" s="139">
        <v>6530</v>
      </c>
      <c r="U20" s="80">
        <f>ROUNDDOWN($A$2/T20,0)</f>
        <v>3</v>
      </c>
      <c r="V20" s="81">
        <v>15000</v>
      </c>
      <c r="W20" s="82">
        <f>(V20*E20)/$A$2</f>
        <v>3.75</v>
      </c>
      <c r="X20" s="83">
        <f>ROUNDDOWN((($A$2*$A$11)/(E20*V20)),0)</f>
        <v>0</v>
      </c>
      <c r="Y20" s="82">
        <f>$A$8/E20</f>
        <v>600</v>
      </c>
      <c r="Z20" s="84">
        <f t="shared" si="4"/>
        <v>150</v>
      </c>
      <c r="AA20" s="85">
        <f t="shared" si="4"/>
        <v>37.5</v>
      </c>
      <c r="AB20" s="86" t="str">
        <f t="shared" si="5"/>
        <v>capital insufisant</v>
      </c>
    </row>
    <row r="21" spans="1:28" ht="20.149999999999999" customHeight="1" x14ac:dyDescent="0.35">
      <c r="A21" s="66" t="s">
        <v>79</v>
      </c>
      <c r="B21" s="67" t="s">
        <v>42</v>
      </c>
      <c r="C21" s="66">
        <v>1</v>
      </c>
      <c r="D21" s="67">
        <v>1</v>
      </c>
      <c r="E21" s="133">
        <v>1</v>
      </c>
      <c r="F21" s="134">
        <f t="shared" si="0"/>
        <v>1</v>
      </c>
      <c r="G21" s="135">
        <v>0.25</v>
      </c>
      <c r="H21" s="136">
        <v>0.13</v>
      </c>
      <c r="I21" s="135">
        <f t="shared" si="6"/>
        <v>0.38</v>
      </c>
      <c r="J21" s="72">
        <f>I21</f>
        <v>0.38</v>
      </c>
      <c r="K21" s="75">
        <f t="shared" si="1"/>
        <v>0.76</v>
      </c>
      <c r="L21" s="74">
        <f>K21</f>
        <v>0.76</v>
      </c>
      <c r="M21" s="66">
        <f t="shared" si="7"/>
        <v>1</v>
      </c>
      <c r="N21" s="67">
        <f t="shared" si="2"/>
        <v>1</v>
      </c>
      <c r="O21" s="135">
        <f t="shared" si="8"/>
        <v>0.24</v>
      </c>
      <c r="P21" s="75">
        <f>O21</f>
        <v>0.24</v>
      </c>
      <c r="Q21" s="137">
        <f t="shared" si="3"/>
        <v>0.24</v>
      </c>
      <c r="R21" s="77">
        <f>Q21</f>
        <v>0.24</v>
      </c>
      <c r="S21" s="138">
        <f t="shared" si="12"/>
        <v>24</v>
      </c>
      <c r="T21" s="139">
        <v>1306</v>
      </c>
      <c r="U21" s="80">
        <f>ROUNDDOWN($A$2/T21,0)</f>
        <v>15</v>
      </c>
      <c r="V21" s="81">
        <v>15000</v>
      </c>
      <c r="W21" s="82">
        <f>(V21*E21)/$A$2</f>
        <v>0.75</v>
      </c>
      <c r="X21" s="83">
        <f>ROUNDDOWN((($A$2*$A$11)/(E21*V21)),0)</f>
        <v>4</v>
      </c>
      <c r="Y21" s="82">
        <f>$A$8/E21</f>
        <v>3000</v>
      </c>
      <c r="Z21" s="84">
        <f t="shared" si="4"/>
        <v>750</v>
      </c>
      <c r="AA21" s="85">
        <f t="shared" si="4"/>
        <v>187.5</v>
      </c>
      <c r="AB21" s="86">
        <f t="shared" si="5"/>
        <v>46.875</v>
      </c>
    </row>
    <row r="22" spans="1:28" ht="20.149999999999999" customHeight="1" thickBot="1" x14ac:dyDescent="0.4">
      <c r="A22" s="140" t="s">
        <v>43</v>
      </c>
      <c r="B22" s="141" t="s">
        <v>44</v>
      </c>
      <c r="C22" s="140">
        <v>1</v>
      </c>
      <c r="D22" s="141">
        <v>1</v>
      </c>
      <c r="E22" s="142">
        <v>10</v>
      </c>
      <c r="F22" s="143">
        <f t="shared" si="0"/>
        <v>10</v>
      </c>
      <c r="G22" s="144">
        <v>0.25</v>
      </c>
      <c r="H22" s="145">
        <v>0.36</v>
      </c>
      <c r="I22" s="144">
        <f t="shared" si="6"/>
        <v>0.61</v>
      </c>
      <c r="J22" s="146">
        <f>I22</f>
        <v>0.61</v>
      </c>
      <c r="K22" s="147">
        <f t="shared" si="1"/>
        <v>1.22</v>
      </c>
      <c r="L22" s="148">
        <f>K22</f>
        <v>1.22</v>
      </c>
      <c r="M22" s="140">
        <f t="shared" si="7"/>
        <v>1</v>
      </c>
      <c r="N22" s="141">
        <f t="shared" si="2"/>
        <v>1</v>
      </c>
      <c r="O22" s="144">
        <f t="shared" si="8"/>
        <v>8.7799999999999994</v>
      </c>
      <c r="P22" s="147">
        <f>O22</f>
        <v>8.7799999999999994</v>
      </c>
      <c r="Q22" s="149">
        <f t="shared" si="3"/>
        <v>8.7799999999999994</v>
      </c>
      <c r="R22" s="150">
        <f>Q22</f>
        <v>8.7799999999999994</v>
      </c>
      <c r="S22" s="151">
        <f t="shared" si="12"/>
        <v>87.799999999999983</v>
      </c>
      <c r="T22" s="152">
        <v>3560</v>
      </c>
      <c r="U22" s="153">
        <f>ROUNDDOWN($A$2/T22,0)</f>
        <v>5</v>
      </c>
      <c r="V22" s="154">
        <v>4000</v>
      </c>
      <c r="W22" s="120">
        <f>(V22*E22)/$A$2</f>
        <v>2</v>
      </c>
      <c r="X22" s="155">
        <f>ROUNDDOWN((($A$2*$A$11)/(E22*V22)),0)</f>
        <v>1</v>
      </c>
      <c r="Y22" s="156">
        <f>$A$8/E22</f>
        <v>300</v>
      </c>
      <c r="Z22" s="157">
        <f t="shared" si="4"/>
        <v>75</v>
      </c>
      <c r="AA22" s="158">
        <f t="shared" si="4"/>
        <v>18.75</v>
      </c>
      <c r="AB22" s="159">
        <f t="shared" si="5"/>
        <v>18.75</v>
      </c>
    </row>
    <row r="23" spans="1:28" ht="15" thickBot="1" x14ac:dyDescent="0.4">
      <c r="F23" s="160"/>
    </row>
    <row r="24" spans="1:28" ht="73" thickBot="1" x14ac:dyDescent="0.4">
      <c r="A24" s="15" t="s">
        <v>45</v>
      </c>
      <c r="B24" s="16" t="s">
        <v>4</v>
      </c>
      <c r="C24" s="15" t="s">
        <v>5</v>
      </c>
      <c r="D24" s="16" t="s">
        <v>6</v>
      </c>
      <c r="E24" s="15" t="s">
        <v>7</v>
      </c>
      <c r="F24" s="17" t="s">
        <v>8</v>
      </c>
      <c r="G24" s="161" t="s">
        <v>46</v>
      </c>
      <c r="H24" s="162" t="s">
        <v>10</v>
      </c>
      <c r="I24" s="161" t="s">
        <v>11</v>
      </c>
      <c r="J24" s="163" t="s">
        <v>12</v>
      </c>
      <c r="K24" s="164" t="s">
        <v>13</v>
      </c>
      <c r="L24" s="20" t="s">
        <v>47</v>
      </c>
      <c r="M24" s="15" t="s">
        <v>15</v>
      </c>
      <c r="N24" s="16" t="s">
        <v>16</v>
      </c>
      <c r="O24" s="15" t="s">
        <v>17</v>
      </c>
      <c r="P24" s="21" t="s">
        <v>18</v>
      </c>
      <c r="Q24" s="16" t="s">
        <v>19</v>
      </c>
      <c r="R24" s="20" t="s">
        <v>20</v>
      </c>
      <c r="S24" s="22" t="s">
        <v>21</v>
      </c>
      <c r="T24" s="23" t="s">
        <v>48</v>
      </c>
      <c r="U24" s="23" t="s">
        <v>23</v>
      </c>
      <c r="V24" s="23" t="s">
        <v>24</v>
      </c>
      <c r="W24" s="15" t="s">
        <v>25</v>
      </c>
      <c r="X24" s="24" t="s">
        <v>26</v>
      </c>
      <c r="Y24" s="15" t="s">
        <v>27</v>
      </c>
      <c r="Z24" s="25" t="s">
        <v>28</v>
      </c>
      <c r="AA24" s="16" t="s">
        <v>29</v>
      </c>
      <c r="AB24" s="24" t="s">
        <v>30</v>
      </c>
    </row>
    <row r="25" spans="1:28" ht="20.149999999999999" customHeight="1" x14ac:dyDescent="0.35">
      <c r="A25" s="165" t="s">
        <v>49</v>
      </c>
      <c r="B25" s="166" t="s">
        <v>50</v>
      </c>
      <c r="C25" s="165">
        <v>0.2</v>
      </c>
      <c r="D25" s="166">
        <v>1</v>
      </c>
      <c r="E25" s="167">
        <v>1</v>
      </c>
      <c r="F25" s="168">
        <f>E25*C25</f>
        <v>0.2</v>
      </c>
      <c r="G25" s="169">
        <v>0</v>
      </c>
      <c r="H25" s="170">
        <v>0</v>
      </c>
      <c r="I25" s="169">
        <f t="shared" ref="I25" si="13">G25+H25</f>
        <v>0</v>
      </c>
      <c r="J25" s="171">
        <f>I25</f>
        <v>0</v>
      </c>
      <c r="K25" s="172"/>
      <c r="L25" s="173">
        <v>2.4</v>
      </c>
      <c r="M25" s="174">
        <f>IF(C25=D25,ROUNDUP((L25/E25),0),ROUNDUP(((L25/E25)/C25),0))</f>
        <v>12</v>
      </c>
      <c r="N25" s="175">
        <f t="shared" ref="N25:N27" si="14">M25*C25</f>
        <v>2.4000000000000004</v>
      </c>
      <c r="O25" s="176">
        <f>(E25*N25)-L25</f>
        <v>0</v>
      </c>
      <c r="P25" s="177">
        <f>O25</f>
        <v>0</v>
      </c>
      <c r="Q25" s="178">
        <f>D25-L25</f>
        <v>-1.4</v>
      </c>
      <c r="R25" s="179">
        <f>Q25</f>
        <v>-1.4</v>
      </c>
      <c r="S25" s="180">
        <f>(Q25*100)/E25</f>
        <v>-140</v>
      </c>
      <c r="T25" s="181">
        <f>V25*0.05</f>
        <v>1650</v>
      </c>
      <c r="U25" s="182">
        <f>ROUNDDOWN($A$2/T25,0)</f>
        <v>12</v>
      </c>
      <c r="V25" s="183">
        <v>33000</v>
      </c>
      <c r="W25" s="184">
        <f>(V25*E25)/$A$2</f>
        <v>1.65</v>
      </c>
      <c r="X25" s="185">
        <f>ROUNDDOWN((($A$2*$A$11)/(E25*V25)),0)</f>
        <v>1</v>
      </c>
      <c r="Y25" s="184">
        <f>$A$8/E25</f>
        <v>3000</v>
      </c>
      <c r="Z25" s="186">
        <f t="shared" ref="Z25:AA27" si="15">Y25/4</f>
        <v>750</v>
      </c>
      <c r="AA25" s="187">
        <f t="shared" si="15"/>
        <v>187.5</v>
      </c>
      <c r="AB25" s="188">
        <f t="shared" ref="AB25:AB27" si="16">IFERROR((AA25/X25),"capital insufisant")</f>
        <v>187.5</v>
      </c>
    </row>
    <row r="26" spans="1:28" ht="20.149999999999999" customHeight="1" x14ac:dyDescent="0.35">
      <c r="A26" s="66" t="s">
        <v>80</v>
      </c>
      <c r="B26" s="67" t="s">
        <v>51</v>
      </c>
      <c r="C26" s="189">
        <v>1</v>
      </c>
      <c r="D26" s="190">
        <v>1</v>
      </c>
      <c r="E26" s="70">
        <v>20</v>
      </c>
      <c r="F26" s="191">
        <f>E26*C26</f>
        <v>20</v>
      </c>
      <c r="G26" s="192"/>
      <c r="H26" s="193"/>
      <c r="I26" s="192"/>
      <c r="J26" s="194"/>
      <c r="K26" s="195"/>
      <c r="L26" s="196">
        <v>1</v>
      </c>
      <c r="M26" s="66">
        <f>IF(C26=D26,ROUNDUP((L26/E26),0),ROUNDUP(((K26/E26)/C26),0))</f>
        <v>1</v>
      </c>
      <c r="N26" s="67">
        <f t="shared" si="14"/>
        <v>1</v>
      </c>
      <c r="O26" s="197">
        <f>(E26*N26)-L26</f>
        <v>19</v>
      </c>
      <c r="P26" s="75">
        <f>O26</f>
        <v>19</v>
      </c>
      <c r="Q26" s="76">
        <f>(E26*(ROUNDUP(N26,0))-L26)</f>
        <v>19</v>
      </c>
      <c r="R26" s="76">
        <f>Q26/$A$6</f>
        <v>17.73711725168036</v>
      </c>
      <c r="S26" s="198">
        <f>(Q26*100)/E26</f>
        <v>95</v>
      </c>
      <c r="T26" s="139">
        <f>V26*0.05</f>
        <v>650</v>
      </c>
      <c r="U26" s="80">
        <f>ROUNDDOWN($A$3/T26,0)</f>
        <v>32</v>
      </c>
      <c r="V26" s="81">
        <v>13000</v>
      </c>
      <c r="W26" s="82">
        <f>(V26*E26)/$A$3</f>
        <v>12.135922330097088</v>
      </c>
      <c r="X26" s="83">
        <f>ROUNDDOWN((($A$3*$A$11)/(E26*V26)),0)</f>
        <v>0</v>
      </c>
      <c r="Y26" s="82">
        <f>$A$9/E26</f>
        <v>160.68</v>
      </c>
      <c r="Z26" s="84">
        <f t="shared" si="15"/>
        <v>40.17</v>
      </c>
      <c r="AA26" s="85">
        <f t="shared" si="15"/>
        <v>10.0425</v>
      </c>
      <c r="AB26" s="86" t="str">
        <f t="shared" si="16"/>
        <v>capital insufisant</v>
      </c>
    </row>
    <row r="27" spans="1:28" ht="20.149999999999999" customHeight="1" thickBot="1" x14ac:dyDescent="0.4">
      <c r="A27" s="199" t="s">
        <v>81</v>
      </c>
      <c r="B27" s="200" t="s">
        <v>52</v>
      </c>
      <c r="C27" s="199">
        <v>1</v>
      </c>
      <c r="D27" s="201">
        <v>1</v>
      </c>
      <c r="E27" s="202">
        <v>1</v>
      </c>
      <c r="F27" s="203">
        <f t="shared" ref="F27" si="17">E27*C27</f>
        <v>1</v>
      </c>
      <c r="G27" s="204">
        <v>0</v>
      </c>
      <c r="H27" s="205">
        <v>0</v>
      </c>
      <c r="I27" s="204">
        <v>0</v>
      </c>
      <c r="J27" s="206">
        <f>I27</f>
        <v>0</v>
      </c>
      <c r="K27" s="207"/>
      <c r="L27" s="208">
        <v>1</v>
      </c>
      <c r="M27" s="199">
        <f>IF(C27=D27,ROUNDUP((L27/E27),0),ROUNDUP(((K27/E27)/C27),0))</f>
        <v>1</v>
      </c>
      <c r="N27" s="201">
        <f t="shared" si="14"/>
        <v>1</v>
      </c>
      <c r="O27" s="204">
        <f>(E27*N27)-L27</f>
        <v>0</v>
      </c>
      <c r="P27" s="207">
        <f>O27</f>
        <v>0</v>
      </c>
      <c r="Q27" s="209">
        <v>0</v>
      </c>
      <c r="R27" s="210">
        <f>Q27</f>
        <v>0</v>
      </c>
      <c r="S27" s="211">
        <f t="shared" ref="S27" si="18">(Q27*100)/E27</f>
        <v>0</v>
      </c>
      <c r="T27" s="212">
        <f>V27*0.05</f>
        <v>650</v>
      </c>
      <c r="U27" s="213">
        <f>ROUNDDOWN($A$2/T27,0)</f>
        <v>30</v>
      </c>
      <c r="V27" s="214">
        <v>13000</v>
      </c>
      <c r="W27" s="215">
        <f>(V27*E27)/$A$2</f>
        <v>0.65</v>
      </c>
      <c r="X27" s="216">
        <f>ROUNDDOWN((($A$2*$A$11)/(E27*V27)),0)</f>
        <v>4</v>
      </c>
      <c r="Y27" s="215">
        <f>$A$8/E27</f>
        <v>3000</v>
      </c>
      <c r="Z27" s="217">
        <f t="shared" si="15"/>
        <v>750</v>
      </c>
      <c r="AA27" s="218">
        <f t="shared" si="15"/>
        <v>187.5</v>
      </c>
      <c r="AB27" s="219">
        <f t="shared" si="16"/>
        <v>46.875</v>
      </c>
    </row>
    <row r="30" spans="1:28" ht="29" x14ac:dyDescent="0.35">
      <c r="A30" s="220" t="s">
        <v>45</v>
      </c>
      <c r="B30" s="220" t="s">
        <v>4</v>
      </c>
      <c r="C30" s="220" t="s">
        <v>7</v>
      </c>
      <c r="D30" s="2" t="s">
        <v>53</v>
      </c>
      <c r="E30" s="2" t="s">
        <v>54</v>
      </c>
      <c r="O30" s="2" t="s">
        <v>55</v>
      </c>
      <c r="Q30" s="2" t="s">
        <v>86</v>
      </c>
      <c r="R30" s="2" t="s">
        <v>87</v>
      </c>
    </row>
    <row r="31" spans="1:28" s="220" customFormat="1" ht="15" customHeight="1" x14ac:dyDescent="0.35">
      <c r="A31" s="220" t="s">
        <v>55</v>
      </c>
      <c r="B31" s="220" t="s">
        <v>56</v>
      </c>
      <c r="C31" s="221">
        <v>10</v>
      </c>
      <c r="D31" s="222">
        <v>2.4</v>
      </c>
      <c r="E31" s="220">
        <v>1.8</v>
      </c>
      <c r="F31" s="2"/>
      <c r="G31" s="2"/>
      <c r="H31" s="2"/>
      <c r="I31" s="2"/>
      <c r="J31" s="2"/>
      <c r="K31" s="2"/>
      <c r="L31" s="2"/>
      <c r="M31" s="2"/>
      <c r="N31" s="2"/>
      <c r="O31" s="2">
        <v>100</v>
      </c>
      <c r="P31" s="2" t="s">
        <v>84</v>
      </c>
      <c r="Q31" s="2">
        <v>102.4</v>
      </c>
      <c r="R31" s="2">
        <v>101.2</v>
      </c>
      <c r="S31" s="2"/>
      <c r="T31" s="2"/>
    </row>
    <row r="32" spans="1:28" s="220" customFormat="1" ht="15" customHeight="1" x14ac:dyDescent="0.35">
      <c r="A32" s="220" t="s">
        <v>57</v>
      </c>
      <c r="B32" s="220" t="s">
        <v>58</v>
      </c>
      <c r="C32" s="221">
        <v>2</v>
      </c>
      <c r="D32" s="222">
        <v>2.4</v>
      </c>
      <c r="E32" s="220">
        <v>1.8</v>
      </c>
      <c r="F32" s="2"/>
      <c r="G32" s="2"/>
      <c r="H32" s="2"/>
      <c r="I32" s="2"/>
      <c r="J32" s="2"/>
      <c r="K32" s="2"/>
      <c r="L32" s="2"/>
      <c r="M32" s="2"/>
      <c r="N32" s="2"/>
      <c r="O32" s="2">
        <v>100</v>
      </c>
      <c r="P32" s="2" t="s">
        <v>85</v>
      </c>
      <c r="Q32" s="2">
        <v>97.6</v>
      </c>
      <c r="R32" s="2">
        <v>98.8</v>
      </c>
      <c r="S32" s="2"/>
      <c r="T32" s="2"/>
    </row>
    <row r="33" spans="1:20" s="220" customFormat="1" ht="15" customHeight="1" x14ac:dyDescent="0.35">
      <c r="A33" s="220" t="s">
        <v>49</v>
      </c>
      <c r="B33" s="220" t="s">
        <v>50</v>
      </c>
      <c r="C33" s="223">
        <v>1</v>
      </c>
      <c r="D33" s="222">
        <v>2.4</v>
      </c>
      <c r="E33" s="220">
        <v>1.8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s="220" customFormat="1" ht="15" customHeight="1" x14ac:dyDescent="0.35">
      <c r="A34" s="220" t="s">
        <v>82</v>
      </c>
      <c r="B34" s="220" t="s">
        <v>59</v>
      </c>
      <c r="C34" s="221">
        <v>100</v>
      </c>
      <c r="D34" s="222">
        <v>1</v>
      </c>
      <c r="E34" s="220">
        <v>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 t="s">
        <v>88</v>
      </c>
      <c r="Q34" s="2">
        <f>Q31-Q32</f>
        <v>4.8000000000000114</v>
      </c>
      <c r="R34" s="2">
        <f>R31-R32</f>
        <v>2.4000000000000057</v>
      </c>
      <c r="S34" s="2"/>
      <c r="T34" s="2"/>
    </row>
    <row r="35" spans="1:20" s="220" customFormat="1" ht="15" customHeight="1" x14ac:dyDescent="0.35">
      <c r="A35" s="220" t="s">
        <v>80</v>
      </c>
      <c r="B35" s="220" t="s">
        <v>51</v>
      </c>
      <c r="C35" s="224">
        <v>20</v>
      </c>
      <c r="D35" s="222">
        <v>1</v>
      </c>
      <c r="E35" s="220">
        <v>1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s="220" customFormat="1" ht="15" customHeight="1" x14ac:dyDescent="0.35">
      <c r="A36" s="220" t="s">
        <v>81</v>
      </c>
      <c r="B36" s="220" t="s">
        <v>52</v>
      </c>
      <c r="C36" s="223">
        <v>1</v>
      </c>
      <c r="D36" s="222">
        <v>1</v>
      </c>
      <c r="E36" s="220">
        <v>1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s="220" customFormat="1" ht="15" customHeight="1" x14ac:dyDescent="0.35">
      <c r="A37" s="220" t="s">
        <v>60</v>
      </c>
      <c r="B37" s="220" t="s">
        <v>61</v>
      </c>
      <c r="C37" s="221">
        <v>250</v>
      </c>
      <c r="D37" s="220">
        <v>0.4</v>
      </c>
      <c r="E37" s="220">
        <v>0.25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s="220" customFormat="1" ht="15" customHeight="1" x14ac:dyDescent="0.35">
      <c r="A38" s="220" t="s">
        <v>62</v>
      </c>
      <c r="B38" s="220" t="s">
        <v>63</v>
      </c>
      <c r="C38" s="221">
        <v>50</v>
      </c>
      <c r="D38" s="220">
        <v>0.4</v>
      </c>
      <c r="E38" s="220">
        <v>0.25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s="220" customFormat="1" ht="15" customHeight="1" x14ac:dyDescent="0.35">
      <c r="A39" s="220" t="s">
        <v>37</v>
      </c>
      <c r="B39" s="220" t="s">
        <v>64</v>
      </c>
      <c r="C39" s="223">
        <v>1</v>
      </c>
      <c r="D39" s="220">
        <v>0.4</v>
      </c>
      <c r="E39" s="220">
        <v>0.25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s="220" customFormat="1" ht="15" customHeight="1" x14ac:dyDescent="0.35">
      <c r="A40" s="220" t="s">
        <v>39</v>
      </c>
      <c r="B40" s="220" t="s">
        <v>65</v>
      </c>
      <c r="C40" s="223">
        <v>10</v>
      </c>
      <c r="D40" s="220">
        <v>1</v>
      </c>
      <c r="E40" s="220">
        <v>1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s="220" customFormat="1" ht="15" customHeight="1" x14ac:dyDescent="0.35">
      <c r="A41" s="220" t="s">
        <v>66</v>
      </c>
      <c r="B41" s="220" t="s">
        <v>67</v>
      </c>
      <c r="C41" s="223">
        <v>1</v>
      </c>
      <c r="D41" s="220">
        <v>1</v>
      </c>
      <c r="E41" s="220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s="220" customFormat="1" ht="15" customHeight="1" x14ac:dyDescent="0.35">
      <c r="A42" s="220" t="s">
        <v>83</v>
      </c>
      <c r="B42" s="220" t="s">
        <v>68</v>
      </c>
      <c r="C42" s="223">
        <v>25</v>
      </c>
      <c r="D42" s="220">
        <v>1.2</v>
      </c>
      <c r="E42" s="220">
        <v>1.5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s="220" customFormat="1" ht="15" customHeight="1" x14ac:dyDescent="0.35">
      <c r="A43" s="220" t="s">
        <v>78</v>
      </c>
      <c r="B43" s="220" t="s">
        <v>69</v>
      </c>
      <c r="C43" s="223">
        <v>5</v>
      </c>
      <c r="D43" s="220">
        <v>1.2</v>
      </c>
      <c r="E43" s="220">
        <v>1.5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s="220" customFormat="1" ht="15" customHeight="1" x14ac:dyDescent="0.35">
      <c r="A44" s="220" t="s">
        <v>79</v>
      </c>
      <c r="B44" s="220" t="s">
        <v>70</v>
      </c>
      <c r="C44" s="223">
        <v>1</v>
      </c>
      <c r="D44" s="220">
        <v>1.2</v>
      </c>
      <c r="E44" s="220">
        <v>1.5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s="220" customFormat="1" ht="15" customHeight="1" x14ac:dyDescent="0.35">
      <c r="A45" s="220" t="s">
        <v>43</v>
      </c>
      <c r="B45" s="220" t="s">
        <v>71</v>
      </c>
      <c r="C45" s="223">
        <v>10</v>
      </c>
      <c r="D45" s="220">
        <v>1</v>
      </c>
      <c r="E45" s="220">
        <v>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35">
      <c r="A46" s="220" t="s">
        <v>72</v>
      </c>
      <c r="B46" s="220" t="s">
        <v>73</v>
      </c>
      <c r="C46" s="8">
        <v>2</v>
      </c>
      <c r="D46" s="2">
        <v>1</v>
      </c>
      <c r="E46" s="2">
        <v>1</v>
      </c>
    </row>
  </sheetData>
  <autoFilter ref="A13:AB13" xr:uid="{9E76A333-14FB-4369-B0F1-BA1C85D06B65}"/>
  <conditionalFormatting sqref="X14:X22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{A45675C9-2DB9-4918-9D55-837262B3EA96}</x14:id>
        </ext>
      </extLst>
    </cfRule>
  </conditionalFormatting>
  <conditionalFormatting sqref="R14:R22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{950C5845-7442-4468-A901-603A64E59BE1}</x14:id>
        </ext>
      </extLst>
    </cfRule>
  </conditionalFormatting>
  <conditionalFormatting sqref="AB14:AB22">
    <cfRule type="colorScale" priority="9">
      <colorScale>
        <cfvo type="min"/>
        <cfvo type="max"/>
        <color rgb="FF92D050"/>
        <color rgb="FFFFC000"/>
      </colorScale>
    </cfRule>
    <cfRule type="containsText" dxfId="5" priority="10" operator="containsText" text="capital insufisant">
      <formula>NOT(ISERROR(SEARCH("capital insufisant",AB14)))</formula>
    </cfRule>
  </conditionalFormatting>
  <conditionalFormatting sqref="L14:L22">
    <cfRule type="colorScale" priority="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S14:S22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{7DD118DF-7B98-4217-8054-87E4BEA8DB60}</x14:id>
        </ext>
      </extLst>
    </cfRule>
  </conditionalFormatting>
  <conditionalFormatting sqref="A14:AA22">
    <cfRule type="expression" dxfId="4" priority="4">
      <formula>$AB14="capital insufisant"</formula>
    </cfRule>
  </conditionalFormatting>
  <conditionalFormatting sqref="A25:Q25 A27 C26:Q27 T25:AA27">
    <cfRule type="expression" dxfId="3" priority="3">
      <formula>$AB25="capital insufisant"</formula>
    </cfRule>
  </conditionalFormatting>
  <conditionalFormatting sqref="X25:X27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{5FC8F989-7614-4380-87D0-8C99C5FAF3A5}</x14:id>
        </ext>
      </extLst>
    </cfRule>
  </conditionalFormatting>
  <conditionalFormatting sqref="AB25:AB27">
    <cfRule type="colorScale" priority="12">
      <colorScale>
        <cfvo type="min"/>
        <cfvo type="max"/>
        <color rgb="FF92D050"/>
        <color rgb="FFFFC000"/>
      </colorScale>
    </cfRule>
    <cfRule type="containsText" dxfId="2" priority="13" operator="containsText" text="capital insufisant">
      <formula>NOT(ISERROR(SEARCH("capital insufisant",AB25)))</formula>
    </cfRule>
  </conditionalFormatting>
  <conditionalFormatting sqref="L25:L27">
    <cfRule type="colorScale" priority="1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A26:B26">
    <cfRule type="expression" dxfId="1" priority="2">
      <formula>$AB26="capital insufisant"</formula>
    </cfRule>
  </conditionalFormatting>
  <conditionalFormatting sqref="R26:S26">
    <cfRule type="expression" dxfId="0" priority="1">
      <formula>$AB26="capital insufisant"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45675C9-2DB9-4918-9D55-837262B3EA9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X14:X22</xm:sqref>
        </x14:conditionalFormatting>
        <x14:conditionalFormatting xmlns:xm="http://schemas.microsoft.com/office/excel/2006/main">
          <x14:cfRule type="dataBar" id="{950C5845-7442-4468-A901-603A64E59BE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R14:R22</xm:sqref>
        </x14:conditionalFormatting>
        <x14:conditionalFormatting xmlns:xm="http://schemas.microsoft.com/office/excel/2006/main">
          <x14:cfRule type="dataBar" id="{7DD118DF-7B98-4217-8054-87E4BEA8DB6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S14:S22</xm:sqref>
        </x14:conditionalFormatting>
        <x14:conditionalFormatting xmlns:xm="http://schemas.microsoft.com/office/excel/2006/main">
          <x14:cfRule type="dataBar" id="{5FC8F989-7614-4380-87D0-8C99C5FAF3A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X25:X27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frais marges levier 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jwiik</dc:creator>
  <cp:lastModifiedBy>Benoist Rousseau</cp:lastModifiedBy>
  <dcterms:created xsi:type="dcterms:W3CDTF">2022-06-07T22:11:48Z</dcterms:created>
  <dcterms:modified xsi:type="dcterms:W3CDTF">2022-06-23T05:04:53Z</dcterms:modified>
</cp:coreProperties>
</file>